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11565" tabRatio="601" activeTab="0"/>
  </bookViews>
  <sheets>
    <sheet name="Total" sheetId="1" r:id="rId1"/>
    <sheet name="Player Program" sheetId="2" r:id="rId2"/>
    <sheet name="Regular Player" sheetId="3" r:id="rId3"/>
    <sheet name="Sheet1" sheetId="4" r:id="rId4"/>
  </sheets>
  <externalReferences>
    <externalReference r:id="rId7"/>
  </externalReferences>
  <definedNames>
    <definedName name="_xlnm.Print_Area" localSheetId="1">'Player Program'!$B$1:$Y$65</definedName>
    <definedName name="_xlnm.Print_Area" localSheetId="2">'Regular Player'!$A$1:$Z$54</definedName>
    <definedName name="_xlnm.Print_Area" localSheetId="0">'Total'!$B$1:$AA$61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Y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Calculated Revenue</t>
        </r>
      </text>
    </comment>
  </commentList>
</comments>
</file>

<file path=xl/sharedStrings.xml><?xml version="1.0" encoding="utf-8"?>
<sst xmlns="http://schemas.openxmlformats.org/spreadsheetml/2006/main" count="148" uniqueCount="67">
  <si>
    <t>/GGR6</t>
  </si>
  <si>
    <t>Gross Gaming Revenue</t>
  </si>
  <si>
    <t>Summary of Gaming Machine Revenue</t>
  </si>
  <si>
    <t xml:space="preserve"> </t>
  </si>
  <si>
    <t>.</t>
  </si>
  <si>
    <t>Cash Revenue Calculation</t>
  </si>
  <si>
    <t>Date</t>
  </si>
  <si>
    <t>Turnover</t>
  </si>
  <si>
    <t>less</t>
  </si>
  <si>
    <t>Game Wins</t>
  </si>
  <si>
    <t>Link Progressive Startout</t>
  </si>
  <si>
    <t>Jackpot Startouts</t>
  </si>
  <si>
    <t>Mystery Startout</t>
  </si>
  <si>
    <t>Mystery Jackpot Increment</t>
  </si>
  <si>
    <t>Progressive Jackpot Increment</t>
  </si>
  <si>
    <t>Variable Prize Jackpot Increments</t>
  </si>
  <si>
    <t>Fixed Prize Jackpot Increments</t>
  </si>
  <si>
    <t>Bonus Jackpots</t>
  </si>
  <si>
    <t>equals</t>
  </si>
  <si>
    <t>DACOM 6000 Revenue</t>
  </si>
  <si>
    <t>plus</t>
  </si>
  <si>
    <t>Colossus</t>
  </si>
  <si>
    <t>Final GGR subject to Tax</t>
  </si>
  <si>
    <t>Date and Time of EGM Report</t>
  </si>
  <si>
    <t>Hard Count</t>
  </si>
  <si>
    <t>Hand Pays</t>
  </si>
  <si>
    <t>Jackpots</t>
  </si>
  <si>
    <t>Hopper Fills</t>
  </si>
  <si>
    <t>Short Pays</t>
  </si>
  <si>
    <t>Cash Revenue</t>
  </si>
  <si>
    <t>Daily Revenue</t>
  </si>
  <si>
    <t>Total</t>
  </si>
  <si>
    <t>78+</t>
  </si>
  <si>
    <t>Taxable Revenue</t>
  </si>
  <si>
    <t>Gaming Tax Payable</t>
  </si>
  <si>
    <t>Casino/Gaming Tax</t>
  </si>
  <si>
    <t>Comm. Benefit Levy</t>
  </si>
  <si>
    <t>Total Gaming Tax</t>
  </si>
  <si>
    <t>Jackpot Value Adjustment</t>
  </si>
  <si>
    <t>DACOM Estimated Jackpot Value</t>
  </si>
  <si>
    <r>
      <t xml:space="preserve">Less: </t>
    </r>
    <r>
      <rPr>
        <i/>
        <sz val="8"/>
        <rFont val="Arial"/>
        <family val="2"/>
      </rPr>
      <t>Invoiced Value</t>
    </r>
  </si>
  <si>
    <t>/GGR6-B</t>
  </si>
  <si>
    <t>Summary of Program Based EGM Revenue</t>
  </si>
  <si>
    <t>Audit Column</t>
  </si>
  <si>
    <t>Jackpot Startout</t>
  </si>
  <si>
    <t>Sum of Fixed and Variable Jpot Increment</t>
  </si>
  <si>
    <t>Final GGR subject to Tax     9%</t>
  </si>
  <si>
    <t>Variance</t>
  </si>
  <si>
    <t>Total Commission Based EGM Revenue</t>
  </si>
  <si>
    <t>Adjusted Total Commission Based EGM Revenue</t>
  </si>
  <si>
    <t>Decrease in Tax</t>
  </si>
  <si>
    <t>/GGR6-C</t>
  </si>
  <si>
    <t>Total Regular EGM Revenue</t>
  </si>
  <si>
    <t>Adjustments: "Total worksheet"</t>
  </si>
  <si>
    <t>Adjusted Regular EGM Revenue</t>
  </si>
  <si>
    <t>Player Program tax</t>
  </si>
  <si>
    <t>Player Program Comm. Benefit Levy</t>
  </si>
  <si>
    <t xml:space="preserve">  Adjustment:</t>
  </si>
  <si>
    <t>Adjustments: "Player Program"</t>
  </si>
  <si>
    <t>Note: Adjustments are reversal of Dom Comp Programs that should not have been part of the report.</t>
  </si>
  <si>
    <t>Sub Total</t>
  </si>
  <si>
    <t>Add: Adjustment to match monthly EGM Revenue report</t>
  </si>
  <si>
    <t xml:space="preserve">         Line adjustments. As per line adjustments sheet</t>
  </si>
  <si>
    <t xml:space="preserve">  Adjustment : </t>
  </si>
  <si>
    <t xml:space="preserve">Adjustment : </t>
  </si>
  <si>
    <t>For Period Ended 31 May 2021</t>
  </si>
  <si>
    <t>For Period Ended : 31 May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</si>
</sst>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d\-d\-mmm\-yy"/>
    <numFmt numFmtId="165" formatCode="#,##0.00_ ;\-#,##0.00\ "/>
    <numFmt numFmtId="166" formatCode="_-* #,##0_-;\-* #,##0_-;_-* &quot;-&quot;??_-;_-@_-"/>
    <numFmt numFmtId="167" formatCode="_(* #,##0.00_);_(* \(#,##0.00\);_(* &quot;-&quot;??_);_(@_)"/>
    <numFmt numFmtId="168" formatCode="[$-C09]dd\-mmm\-yy;@"/>
    <numFmt numFmtId="169" formatCode="mmm\-yyyy"/>
    <numFmt numFmtId="170" formatCode="_(&quot;$&quot;* #,##0.00_);_(&quot;$&quot;* \(#,##0.00\);_(&quot;$&quot;* &quot;-&quot;??_);_(@_)"/>
  </numFmts>
  <fonts count="69">
    <font>
      <sz val="11"/>
      <name val="Arial"/>
      <family val="0"/>
    </font>
    <font>
      <b/>
      <i/>
      <u val="single"/>
      <sz val="14"/>
      <name val="Arial"/>
      <family val="2"/>
    </font>
    <font>
      <sz val="10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4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0"/>
      <color indexed="62"/>
      <name val="Arial"/>
      <family val="2"/>
    </font>
    <font>
      <i/>
      <u val="single"/>
      <sz val="10"/>
      <color indexed="62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9"/>
      <name val="Arial"/>
      <family val="2"/>
    </font>
    <font>
      <sz val="11"/>
      <color indexed="62"/>
      <name val="Arial"/>
      <family val="2"/>
    </font>
    <font>
      <b/>
      <sz val="11"/>
      <color indexed="10"/>
      <name val="Arial"/>
      <family val="2"/>
    </font>
    <font>
      <sz val="12"/>
      <color indexed="6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43" fontId="2" fillId="0" borderId="0" xfId="42" applyFont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43" fontId="5" fillId="0" borderId="0" xfId="42" applyFont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43" fontId="0" fillId="0" borderId="0" xfId="0" applyNumberFormat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" fillId="33" borderId="20" xfId="0" applyFont="1" applyFill="1" applyBorder="1" applyAlignment="1">
      <alignment/>
    </xf>
    <xf numFmtId="0" fontId="5" fillId="0" borderId="0" xfId="0" applyFont="1" applyAlignment="1">
      <alignment/>
    </xf>
    <xf numFmtId="43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34" borderId="21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3" fontId="2" fillId="0" borderId="0" xfId="42" applyFont="1" applyBorder="1" applyAlignment="1">
      <alignment/>
    </xf>
    <xf numFmtId="0" fontId="4" fillId="34" borderId="22" xfId="0" applyFont="1" applyFill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43" fontId="7" fillId="0" borderId="0" xfId="42" applyFont="1" applyAlignment="1">
      <alignment/>
    </xf>
    <xf numFmtId="43" fontId="7" fillId="0" borderId="0" xfId="0" applyNumberFormat="1" applyFont="1" applyFill="1" applyAlignment="1">
      <alignment/>
    </xf>
    <xf numFmtId="43" fontId="7" fillId="0" borderId="0" xfId="42" applyFont="1" applyFill="1" applyAlignment="1">
      <alignment/>
    </xf>
    <xf numFmtId="43" fontId="7" fillId="0" borderId="0" xfId="42" applyFont="1" applyBorder="1" applyAlignment="1">
      <alignment/>
    </xf>
    <xf numFmtId="22" fontId="7" fillId="0" borderId="0" xfId="0" applyNumberFormat="1" applyFont="1" applyAlignment="1">
      <alignment horizontal="right"/>
    </xf>
    <xf numFmtId="0" fontId="7" fillId="0" borderId="13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165" fontId="7" fillId="0" borderId="0" xfId="0" applyNumberFormat="1" applyFont="1" applyAlignment="1">
      <alignment/>
    </xf>
    <xf numFmtId="43" fontId="8" fillId="34" borderId="22" xfId="42" applyFont="1" applyFill="1" applyBorder="1" applyAlignment="1">
      <alignment/>
    </xf>
    <xf numFmtId="0" fontId="7" fillId="34" borderId="14" xfId="0" applyFont="1" applyFill="1" applyBorder="1" applyAlignment="1">
      <alignment/>
    </xf>
    <xf numFmtId="43" fontId="7" fillId="0" borderId="0" xfId="0" applyNumberFormat="1" applyFont="1" applyAlignment="1">
      <alignment/>
    </xf>
    <xf numFmtId="22" fontId="7" fillId="0" borderId="0" xfId="0" applyNumberFormat="1" applyFont="1" applyAlignment="1">
      <alignment/>
    </xf>
    <xf numFmtId="22" fontId="7" fillId="0" borderId="0" xfId="0" applyNumberFormat="1" applyFont="1" applyAlignment="1">
      <alignment/>
    </xf>
    <xf numFmtId="43" fontId="7" fillId="0" borderId="0" xfId="42" applyFont="1" applyFill="1" applyBorder="1" applyAlignment="1">
      <alignment/>
    </xf>
    <xf numFmtId="166" fontId="9" fillId="0" borderId="0" xfId="42" applyNumberFormat="1" applyFont="1" applyAlignment="1">
      <alignment/>
    </xf>
    <xf numFmtId="166" fontId="9" fillId="0" borderId="23" xfId="42" applyNumberFormat="1" applyFont="1" applyBorder="1" applyAlignment="1">
      <alignment/>
    </xf>
    <xf numFmtId="43" fontId="8" fillId="0" borderId="23" xfId="42" applyFont="1" applyBorder="1" applyAlignment="1">
      <alignment/>
    </xf>
    <xf numFmtId="43" fontId="8" fillId="0" borderId="23" xfId="42" applyFont="1" applyFill="1" applyBorder="1" applyAlignment="1">
      <alignment/>
    </xf>
    <xf numFmtId="166" fontId="9" fillId="0" borderId="13" xfId="42" applyNumberFormat="1" applyFont="1" applyBorder="1" applyAlignment="1">
      <alignment/>
    </xf>
    <xf numFmtId="166" fontId="9" fillId="0" borderId="0" xfId="42" applyNumberFormat="1" applyFont="1" applyBorder="1" applyAlignment="1">
      <alignment/>
    </xf>
    <xf numFmtId="166" fontId="9" fillId="0" borderId="14" xfId="42" applyNumberFormat="1" applyFont="1" applyBorder="1" applyAlignment="1">
      <alignment/>
    </xf>
    <xf numFmtId="43" fontId="9" fillId="0" borderId="23" xfId="42" applyFont="1" applyBorder="1" applyAlignment="1">
      <alignment/>
    </xf>
    <xf numFmtId="43" fontId="9" fillId="0" borderId="0" xfId="42" applyFont="1" applyBorder="1" applyAlignment="1">
      <alignment/>
    </xf>
    <xf numFmtId="43" fontId="9" fillId="0" borderId="0" xfId="42" applyFont="1" applyFill="1" applyBorder="1" applyAlignment="1">
      <alignment/>
    </xf>
    <xf numFmtId="166" fontId="9" fillId="0" borderId="17" xfId="42" applyNumberFormat="1" applyFont="1" applyBorder="1" applyAlignment="1">
      <alignment/>
    </xf>
    <xf numFmtId="166" fontId="9" fillId="0" borderId="18" xfId="42" applyNumberFormat="1" applyFont="1" applyBorder="1" applyAlignment="1">
      <alignment/>
    </xf>
    <xf numFmtId="166" fontId="9" fillId="0" borderId="19" xfId="42" applyNumberFormat="1" applyFont="1" applyBorder="1" applyAlignment="1">
      <alignment/>
    </xf>
    <xf numFmtId="166" fontId="9" fillId="0" borderId="24" xfId="42" applyNumberFormat="1" applyFont="1" applyBorder="1" applyAlignment="1">
      <alignment/>
    </xf>
    <xf numFmtId="43" fontId="9" fillId="34" borderId="19" xfId="42" applyFont="1" applyFill="1" applyBorder="1" applyAlignment="1">
      <alignment/>
    </xf>
    <xf numFmtId="166" fontId="9" fillId="34" borderId="19" xfId="42" applyNumberFormat="1" applyFont="1" applyFill="1" applyBorder="1" applyAlignment="1">
      <alignment/>
    </xf>
    <xf numFmtId="0" fontId="9" fillId="0" borderId="0" xfId="0" applyFont="1" applyAlignment="1">
      <alignment horizontal="left" vertical="top" wrapText="1"/>
    </xf>
    <xf numFmtId="43" fontId="9" fillId="34" borderId="0" xfId="42" applyFont="1" applyFill="1" applyBorder="1" applyAlignment="1">
      <alignment/>
    </xf>
    <xf numFmtId="166" fontId="9" fillId="34" borderId="0" xfId="42" applyNumberFormat="1" applyFont="1" applyFill="1" applyBorder="1" applyAlignment="1">
      <alignment/>
    </xf>
    <xf numFmtId="43" fontId="10" fillId="0" borderId="0" xfId="42" applyFont="1" applyAlignment="1">
      <alignment/>
    </xf>
    <xf numFmtId="166" fontId="9" fillId="0" borderId="25" xfId="42" applyNumberFormat="1" applyFont="1" applyBorder="1" applyAlignment="1">
      <alignment/>
    </xf>
    <xf numFmtId="43" fontId="9" fillId="0" borderId="25" xfId="42" applyFont="1" applyBorder="1" applyAlignment="1">
      <alignment/>
    </xf>
    <xf numFmtId="43" fontId="9" fillId="0" borderId="25" xfId="42" applyFont="1" applyFill="1" applyBorder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10" fontId="7" fillId="0" borderId="0" xfId="59" applyNumberFormat="1" applyFont="1" applyAlignment="1">
      <alignment/>
    </xf>
    <xf numFmtId="10" fontId="9" fillId="0" borderId="25" xfId="59" applyNumberFormat="1" applyFont="1" applyBorder="1" applyAlignment="1">
      <alignment/>
    </xf>
    <xf numFmtId="0" fontId="10" fillId="0" borderId="0" xfId="0" applyFont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7" fillId="0" borderId="23" xfId="0" applyFont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Border="1" applyAlignment="1">
      <alignment/>
    </xf>
    <xf numFmtId="43" fontId="7" fillId="35" borderId="0" xfId="42" applyFont="1" applyFill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43" fontId="15" fillId="0" borderId="0" xfId="42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43" fontId="18" fillId="0" borderId="0" xfId="42" applyFont="1" applyAlignment="1">
      <alignment horizontal="center" vertical="top" wrapText="1"/>
    </xf>
    <xf numFmtId="0" fontId="18" fillId="0" borderId="0" xfId="0" applyFont="1" applyAlignment="1">
      <alignment/>
    </xf>
    <xf numFmtId="43" fontId="15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3" fontId="14" fillId="0" borderId="0" xfId="42" applyFont="1" applyAlignment="1">
      <alignment/>
    </xf>
    <xf numFmtId="0" fontId="20" fillId="0" borderId="0" xfId="0" applyFont="1" applyAlignment="1">
      <alignment/>
    </xf>
    <xf numFmtId="168" fontId="21" fillId="0" borderId="0" xfId="0" applyNumberFormat="1" applyFont="1" applyAlignment="1">
      <alignment horizontal="center"/>
    </xf>
    <xf numFmtId="43" fontId="21" fillId="0" borderId="0" xfId="42" applyFont="1" applyAlignment="1">
      <alignment/>
    </xf>
    <xf numFmtId="43" fontId="21" fillId="0" borderId="0" xfId="42" applyFont="1" applyFill="1" applyAlignment="1">
      <alignment/>
    </xf>
    <xf numFmtId="43" fontId="21" fillId="0" borderId="0" xfId="42" applyFont="1" applyBorder="1" applyAlignment="1">
      <alignment/>
    </xf>
    <xf numFmtId="43" fontId="21" fillId="36" borderId="0" xfId="42" applyFont="1" applyFill="1" applyAlignment="1">
      <alignment/>
    </xf>
    <xf numFmtId="166" fontId="22" fillId="0" borderId="0" xfId="42" applyNumberFormat="1" applyFont="1" applyAlignment="1">
      <alignment/>
    </xf>
    <xf numFmtId="166" fontId="23" fillId="0" borderId="23" xfId="42" applyNumberFormat="1" applyFont="1" applyBorder="1" applyAlignment="1">
      <alignment/>
    </xf>
    <xf numFmtId="43" fontId="24" fillId="0" borderId="23" xfId="42" applyFont="1" applyBorder="1" applyAlignment="1">
      <alignment/>
    </xf>
    <xf numFmtId="166" fontId="22" fillId="0" borderId="0" xfId="42" applyNumberFormat="1" applyFont="1" applyBorder="1" applyAlignment="1">
      <alignment/>
    </xf>
    <xf numFmtId="43" fontId="23" fillId="0" borderId="0" xfId="42" applyFont="1" applyBorder="1" applyAlignment="1">
      <alignment/>
    </xf>
    <xf numFmtId="43" fontId="23" fillId="0" borderId="0" xfId="42" applyFont="1" applyFill="1" applyBorder="1" applyAlignment="1">
      <alignment/>
    </xf>
    <xf numFmtId="0" fontId="22" fillId="0" borderId="0" xfId="0" applyFont="1" applyAlignment="1">
      <alignment horizontal="left" vertical="top" wrapText="1"/>
    </xf>
    <xf numFmtId="166" fontId="23" fillId="0" borderId="25" xfId="42" applyNumberFormat="1" applyFont="1" applyBorder="1" applyAlignment="1">
      <alignment/>
    </xf>
    <xf numFmtId="43" fontId="23" fillId="0" borderId="25" xfId="42" applyFont="1" applyBorder="1" applyAlignment="1">
      <alignment/>
    </xf>
    <xf numFmtId="43" fontId="23" fillId="0" borderId="25" xfId="42" applyFont="1" applyFill="1" applyBorder="1" applyAlignment="1">
      <alignment/>
    </xf>
    <xf numFmtId="0" fontId="8" fillId="0" borderId="0" xfId="0" applyFont="1" applyAlignment="1">
      <alignment/>
    </xf>
    <xf numFmtId="43" fontId="7" fillId="0" borderId="26" xfId="42" applyFont="1" applyBorder="1" applyAlignment="1">
      <alignment/>
    </xf>
    <xf numFmtId="10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43" fontId="7" fillId="0" borderId="27" xfId="0" applyNumberFormat="1" applyFont="1" applyBorder="1" applyAlignment="1">
      <alignment/>
    </xf>
    <xf numFmtId="43" fontId="0" fillId="0" borderId="23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43" fontId="2" fillId="0" borderId="0" xfId="42" applyFont="1" applyAlignment="1">
      <alignment/>
    </xf>
    <xf numFmtId="43" fontId="7" fillId="0" borderId="0" xfId="0" applyNumberFormat="1" applyFont="1" applyAlignment="1">
      <alignment/>
    </xf>
    <xf numFmtId="43" fontId="29" fillId="0" borderId="0" xfId="42" applyFont="1" applyAlignment="1">
      <alignment/>
    </xf>
    <xf numFmtId="0" fontId="29" fillId="0" borderId="0" xfId="0" applyFont="1" applyAlignment="1">
      <alignment/>
    </xf>
    <xf numFmtId="43" fontId="29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3" fontId="0" fillId="0" borderId="0" xfId="42" applyFont="1" applyAlignment="1">
      <alignment vertical="center"/>
    </xf>
    <xf numFmtId="43" fontId="0" fillId="0" borderId="0" xfId="42" applyFont="1" applyFill="1" applyAlignment="1">
      <alignment vertical="center"/>
    </xf>
    <xf numFmtId="0" fontId="31" fillId="0" borderId="0" xfId="0" applyFont="1" applyAlignment="1">
      <alignment vertical="center"/>
    </xf>
    <xf numFmtId="43" fontId="0" fillId="0" borderId="27" xfId="42" applyFont="1" applyBorder="1" applyAlignment="1">
      <alignment vertical="center"/>
    </xf>
    <xf numFmtId="43" fontId="0" fillId="0" borderId="0" xfId="42" applyFont="1" applyBorder="1" applyAlignment="1">
      <alignment vertical="center"/>
    </xf>
    <xf numFmtId="43" fontId="9" fillId="35" borderId="0" xfId="42" applyFont="1" applyFill="1" applyBorder="1" applyAlignment="1">
      <alignment/>
    </xf>
    <xf numFmtId="43" fontId="32" fillId="36" borderId="0" xfId="42" applyFont="1" applyFill="1" applyAlignment="1">
      <alignment vertical="center"/>
    </xf>
    <xf numFmtId="0" fontId="0" fillId="0" borderId="0" xfId="0" applyFont="1" applyAlignment="1">
      <alignment/>
    </xf>
    <xf numFmtId="43" fontId="33" fillId="0" borderId="0" xfId="42" applyFont="1" applyBorder="1" applyAlignment="1">
      <alignment/>
    </xf>
    <xf numFmtId="43" fontId="33" fillId="0" borderId="0" xfId="42" applyFont="1" applyFill="1" applyBorder="1" applyAlignment="1">
      <alignment/>
    </xf>
    <xf numFmtId="43" fontId="33" fillId="0" borderId="0" xfId="42" applyFont="1" applyAlignment="1">
      <alignment/>
    </xf>
    <xf numFmtId="43" fontId="34" fillId="0" borderId="0" xfId="42" applyFont="1" applyBorder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 vertical="center"/>
    </xf>
    <xf numFmtId="15" fontId="0" fillId="0" borderId="0" xfId="0" applyNumberFormat="1" applyFont="1" applyAlignment="1">
      <alignment vertical="center"/>
    </xf>
    <xf numFmtId="43" fontId="33" fillId="0" borderId="0" xfId="42" applyFont="1" applyAlignment="1">
      <alignment vertical="center"/>
    </xf>
    <xf numFmtId="0" fontId="33" fillId="0" borderId="0" xfId="0" applyFont="1" applyAlignment="1">
      <alignment vertical="center"/>
    </xf>
    <xf numFmtId="170" fontId="30" fillId="0" borderId="0" xfId="42" applyNumberFormat="1" applyFont="1" applyAlignment="1">
      <alignment horizontal="center" vertical="center"/>
    </xf>
    <xf numFmtId="170" fontId="30" fillId="0" borderId="0" xfId="42" applyNumberFormat="1" applyFont="1" applyFill="1" applyAlignment="1">
      <alignment horizontal="center" vertical="center"/>
    </xf>
    <xf numFmtId="43" fontId="1" fillId="0" borderId="0" xfId="42" applyFont="1" applyFill="1" applyAlignment="1">
      <alignment horizontal="center"/>
    </xf>
    <xf numFmtId="43" fontId="13" fillId="0" borderId="0" xfId="42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.21.231\Work_Product_2\Finance\IncomeAudit\INCOME\GGR\MKTING\CASHANAFY2021\CAMAR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FL REC"/>
      <sheetName val="CAMAR21"/>
    </sheetNames>
    <sheetDataSet>
      <sheetData sheetId="0">
        <row r="6">
          <cell r="F6">
            <v>8857.76</v>
          </cell>
          <cell r="G6">
            <v>6693.85</v>
          </cell>
          <cell r="H6">
            <v>6472.450000000001</v>
          </cell>
          <cell r="I6">
            <v>6351.319999999999</v>
          </cell>
          <cell r="J6">
            <v>11163.919999999998</v>
          </cell>
          <cell r="K6">
            <v>11566.389999999998</v>
          </cell>
          <cell r="L6">
            <v>12633.45</v>
          </cell>
          <cell r="M6">
            <v>8500.5</v>
          </cell>
          <cell r="N6">
            <v>6777.84</v>
          </cell>
          <cell r="O6">
            <v>7163.75</v>
          </cell>
          <cell r="P6">
            <v>4947.550000000001</v>
          </cell>
          <cell r="Q6">
            <v>8341.590000000002</v>
          </cell>
          <cell r="R6">
            <v>10812.679999999998</v>
          </cell>
          <cell r="S6">
            <v>7415.3</v>
          </cell>
          <cell r="T6">
            <v>8075.02</v>
          </cell>
          <cell r="U6">
            <v>6176.589999999999</v>
          </cell>
          <cell r="V6">
            <v>6367.76</v>
          </cell>
          <cell r="W6">
            <v>6170.869999999999</v>
          </cell>
          <cell r="X6">
            <v>11463.57</v>
          </cell>
          <cell r="Y6">
            <v>12097.829999999998</v>
          </cell>
          <cell r="Z6">
            <v>9113.019999999999</v>
          </cell>
          <cell r="AA6">
            <v>6517.01</v>
          </cell>
          <cell r="AB6">
            <v>5050.66</v>
          </cell>
          <cell r="AC6">
            <v>5361.449999999998</v>
          </cell>
          <cell r="AD6">
            <v>4917.24</v>
          </cell>
          <cell r="AE6">
            <v>10942.750000000002</v>
          </cell>
          <cell r="AF6">
            <v>13579.73</v>
          </cell>
          <cell r="AG6">
            <v>8760.51</v>
          </cell>
          <cell r="AH6">
            <v>5273.459999999999</v>
          </cell>
          <cell r="AI6">
            <v>7266.53</v>
          </cell>
          <cell r="AJ6">
            <v>8899.02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5"/>
  <sheetViews>
    <sheetView tabSelected="1"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44" sqref="T44"/>
    </sheetView>
  </sheetViews>
  <sheetFormatPr defaultColWidth="9.00390625" defaultRowHeight="14.25"/>
  <cols>
    <col min="1" max="1" width="0.5" style="0" customWidth="1"/>
    <col min="2" max="2" width="36.375" style="0" customWidth="1"/>
    <col min="3" max="3" width="13.50390625" style="0" customWidth="1"/>
    <col min="4" max="4" width="4.875" style="0" customWidth="1"/>
    <col min="5" max="5" width="13.125" style="0" customWidth="1"/>
    <col min="6" max="6" width="0.875" style="0" hidden="1" customWidth="1"/>
    <col min="7" max="7" width="0.37109375" style="0" hidden="1" customWidth="1"/>
    <col min="8" max="8" width="3.875" style="0" customWidth="1"/>
    <col min="9" max="9" width="12.375" style="0" customWidth="1"/>
    <col min="10" max="10" width="0.875" style="0" hidden="1" customWidth="1"/>
    <col min="11" max="11" width="2.125" style="0" hidden="1" customWidth="1"/>
    <col min="12" max="12" width="0.875" style="0" hidden="1" customWidth="1"/>
    <col min="13" max="13" width="2.625" style="0" hidden="1" customWidth="1"/>
    <col min="14" max="14" width="0.875" style="0" hidden="1" customWidth="1"/>
    <col min="15" max="15" width="0.12890625" style="0" customWidth="1"/>
    <col min="16" max="16" width="4.375" style="0" customWidth="1"/>
    <col min="17" max="17" width="12.00390625" style="6" customWidth="1"/>
    <col min="18" max="18" width="3.875" style="0" customWidth="1"/>
    <col min="19" max="19" width="12.00390625" style="0" customWidth="1"/>
    <col min="20" max="20" width="4.375" style="0" bestFit="1" customWidth="1"/>
    <col min="21" max="21" width="11.375" style="0" customWidth="1"/>
    <col min="22" max="22" width="5.625" style="0" customWidth="1"/>
    <col min="23" max="23" width="12.50390625" style="6" customWidth="1"/>
    <col min="24" max="24" width="3.75390625" style="0" hidden="1" customWidth="1"/>
    <col min="25" max="25" width="10.125" style="7" hidden="1" customWidth="1"/>
    <col min="26" max="26" width="6.50390625" style="0" customWidth="1"/>
    <col min="27" max="27" width="17.75390625" style="0" customWidth="1"/>
    <col min="28" max="28" width="0.37109375" style="0" customWidth="1"/>
    <col min="29" max="29" width="9.875" style="0" customWidth="1"/>
    <col min="31" max="31" width="0.37109375" style="0" customWidth="1"/>
    <col min="32" max="32" width="12.375" style="0" customWidth="1"/>
    <col min="33" max="33" width="0.37109375" style="0" customWidth="1"/>
    <col min="34" max="35" width="12.625" style="0" customWidth="1"/>
    <col min="36" max="36" width="11.75390625" style="0" customWidth="1"/>
    <col min="37" max="37" width="12.625" style="0" customWidth="1"/>
    <col min="38" max="38" width="9.625" style="0" customWidth="1"/>
    <col min="39" max="39" width="12.25390625" style="0" customWidth="1"/>
    <col min="40" max="40" width="7.25390625" style="0" customWidth="1"/>
  </cols>
  <sheetData>
    <row r="1" spans="1:29" ht="18.75">
      <c r="A1" s="1"/>
      <c r="B1" s="2" t="s">
        <v>0</v>
      </c>
      <c r="C1" s="158" t="s">
        <v>1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2"/>
      <c r="AB1" s="2"/>
      <c r="AC1" s="2"/>
    </row>
    <row r="2" spans="1:29" ht="19.5" thickBot="1">
      <c r="A2" s="1"/>
      <c r="B2" s="1"/>
      <c r="C2" s="158" t="s">
        <v>2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2"/>
      <c r="AB2" s="2"/>
      <c r="AC2" s="2"/>
    </row>
    <row r="3" spans="1:40" ht="18.75">
      <c r="A3" s="1"/>
      <c r="B3" s="1"/>
      <c r="C3" s="158" t="s">
        <v>65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2"/>
      <c r="AB3" s="2"/>
      <c r="AC3" s="2"/>
      <c r="AE3" s="3"/>
      <c r="AF3" s="4"/>
      <c r="AG3" s="4"/>
      <c r="AH3" s="4"/>
      <c r="AI3" s="4"/>
      <c r="AJ3" s="4"/>
      <c r="AK3" s="4"/>
      <c r="AL3" s="4"/>
      <c r="AM3" s="4"/>
      <c r="AN3" s="5"/>
    </row>
    <row r="4" spans="2:40" ht="15.75" thickBot="1">
      <c r="B4" t="s">
        <v>3</v>
      </c>
      <c r="C4" t="s">
        <v>4</v>
      </c>
      <c r="AE4" s="8"/>
      <c r="AF4" s="9"/>
      <c r="AG4" s="9"/>
      <c r="AH4" s="10" t="s">
        <v>5</v>
      </c>
      <c r="AI4" s="10"/>
      <c r="AJ4" s="10"/>
      <c r="AK4" s="10"/>
      <c r="AL4" s="10"/>
      <c r="AM4" s="10"/>
      <c r="AN4" s="11"/>
    </row>
    <row r="5" spans="31:40" ht="14.25">
      <c r="AE5" s="3"/>
      <c r="AF5" s="4"/>
      <c r="AG5" s="5"/>
      <c r="AH5" s="4"/>
      <c r="AI5" s="4"/>
      <c r="AJ5" s="4"/>
      <c r="AK5" s="4"/>
      <c r="AL5" s="4"/>
      <c r="AM5" s="12"/>
      <c r="AN5" s="5"/>
    </row>
    <row r="6" spans="2:40" s="13" customFormat="1" ht="63.75" customHeight="1">
      <c r="B6" s="14" t="s">
        <v>6</v>
      </c>
      <c r="C6" s="13" t="s">
        <v>7</v>
      </c>
      <c r="D6" s="15" t="s">
        <v>8</v>
      </c>
      <c r="E6" s="13" t="s">
        <v>9</v>
      </c>
      <c r="F6" s="15" t="s">
        <v>8</v>
      </c>
      <c r="G6" s="13" t="s">
        <v>10</v>
      </c>
      <c r="H6" s="15" t="s">
        <v>8</v>
      </c>
      <c r="I6" s="13" t="s">
        <v>11</v>
      </c>
      <c r="J6" s="15" t="s">
        <v>8</v>
      </c>
      <c r="K6" s="13" t="s">
        <v>12</v>
      </c>
      <c r="L6" s="15" t="s">
        <v>8</v>
      </c>
      <c r="M6" s="13" t="s">
        <v>13</v>
      </c>
      <c r="N6" s="15" t="s">
        <v>8</v>
      </c>
      <c r="O6" s="13" t="s">
        <v>14</v>
      </c>
      <c r="P6" s="15" t="s">
        <v>8</v>
      </c>
      <c r="Q6" s="16" t="s">
        <v>15</v>
      </c>
      <c r="R6" s="15" t="s">
        <v>8</v>
      </c>
      <c r="S6" s="13" t="s">
        <v>16</v>
      </c>
      <c r="T6" s="15" t="s">
        <v>8</v>
      </c>
      <c r="U6" s="13" t="s">
        <v>17</v>
      </c>
      <c r="V6" s="15" t="s">
        <v>18</v>
      </c>
      <c r="W6" s="16" t="s">
        <v>19</v>
      </c>
      <c r="X6" s="15" t="s">
        <v>20</v>
      </c>
      <c r="Y6" s="17" t="s">
        <v>21</v>
      </c>
      <c r="Z6" s="15" t="s">
        <v>18</v>
      </c>
      <c r="AA6" s="13" t="s">
        <v>22</v>
      </c>
      <c r="AC6" s="13" t="s">
        <v>23</v>
      </c>
      <c r="AE6" s="18"/>
      <c r="AF6" s="19" t="s">
        <v>6</v>
      </c>
      <c r="AG6" s="20"/>
      <c r="AH6" s="19" t="s">
        <v>24</v>
      </c>
      <c r="AI6" s="19" t="s">
        <v>25</v>
      </c>
      <c r="AJ6" s="19" t="s">
        <v>26</v>
      </c>
      <c r="AK6" s="19" t="s">
        <v>27</v>
      </c>
      <c r="AL6" s="19" t="s">
        <v>28</v>
      </c>
      <c r="AM6" s="21" t="s">
        <v>29</v>
      </c>
      <c r="AN6" s="20"/>
    </row>
    <row r="7" spans="19:40" ht="15" thickBot="1">
      <c r="S7" s="22"/>
      <c r="AE7" s="23"/>
      <c r="AF7" s="24"/>
      <c r="AG7" s="25"/>
      <c r="AH7" s="24"/>
      <c r="AI7" s="24"/>
      <c r="AJ7" s="24"/>
      <c r="AK7" s="24"/>
      <c r="AL7" s="24"/>
      <c r="AM7" s="26"/>
      <c r="AN7" s="25"/>
    </row>
    <row r="8" spans="2:40" ht="14.25">
      <c r="B8" s="27" t="s">
        <v>30</v>
      </c>
      <c r="C8" s="22"/>
      <c r="E8" s="22"/>
      <c r="I8" s="22"/>
      <c r="Q8" s="28"/>
      <c r="S8" s="22"/>
      <c r="U8" s="22"/>
      <c r="W8" s="22"/>
      <c r="X8" s="22"/>
      <c r="Z8" s="22"/>
      <c r="AA8" s="22"/>
      <c r="AE8" s="29"/>
      <c r="AF8" s="30"/>
      <c r="AG8" s="31"/>
      <c r="AH8" s="30"/>
      <c r="AI8" s="30"/>
      <c r="AJ8" s="30"/>
      <c r="AK8" s="30"/>
      <c r="AL8" s="30"/>
      <c r="AM8" s="32"/>
      <c r="AN8" s="33"/>
    </row>
    <row r="9" spans="31:40" ht="5.25" customHeight="1">
      <c r="AE9" s="34"/>
      <c r="AF9" s="35"/>
      <c r="AG9" s="36"/>
      <c r="AH9" s="35"/>
      <c r="AI9" s="35"/>
      <c r="AJ9" s="35"/>
      <c r="AK9" s="35"/>
      <c r="AL9" s="37"/>
      <c r="AM9" s="38"/>
      <c r="AN9" s="33"/>
    </row>
    <row r="10" spans="2:41" s="39" customFormat="1" ht="11.25">
      <c r="B10" s="40">
        <v>44317</v>
      </c>
      <c r="C10" s="43">
        <v>18145749.93</v>
      </c>
      <c r="D10" s="43"/>
      <c r="E10" s="43">
        <v>15641843.14</v>
      </c>
      <c r="F10" s="43"/>
      <c r="G10" s="43"/>
      <c r="H10" s="43"/>
      <c r="I10" s="43">
        <v>662034.94</v>
      </c>
      <c r="J10" s="41"/>
      <c r="K10" s="41"/>
      <c r="L10" s="41"/>
      <c r="M10" s="41"/>
      <c r="N10" s="41"/>
      <c r="O10" s="41"/>
      <c r="P10" s="41"/>
      <c r="Q10" s="42">
        <f aca="true" t="shared" si="0" ref="Q10:Q40">Q74-S10</f>
        <v>175928.81</v>
      </c>
      <c r="R10" s="41"/>
      <c r="S10" s="43">
        <f>'[1]Worksheet'!$F$6</f>
        <v>8857.76</v>
      </c>
      <c r="T10" s="43"/>
      <c r="U10" s="43">
        <v>135737.96</v>
      </c>
      <c r="V10" s="41"/>
      <c r="W10" s="43">
        <f aca="true" t="shared" si="1" ref="W10:W40">C10-E10-I10-Q10-S10-U10</f>
        <v>1521347.3199999991</v>
      </c>
      <c r="X10" s="41"/>
      <c r="Y10" s="44"/>
      <c r="Z10" s="41"/>
      <c r="AA10" s="41">
        <f aca="true" t="shared" si="2" ref="AA10:AA40">W10+Y10</f>
        <v>1521347.3199999991</v>
      </c>
      <c r="AC10" s="45"/>
      <c r="AE10" s="46"/>
      <c r="AF10" s="47">
        <f>B10</f>
        <v>44317</v>
      </c>
      <c r="AG10" s="48"/>
      <c r="AH10" s="49"/>
      <c r="AI10" s="44"/>
      <c r="AJ10" s="44"/>
      <c r="AK10" s="44"/>
      <c r="AL10" s="44"/>
      <c r="AM10" s="50">
        <f aca="true" t="shared" si="3" ref="AM10:AM37">AH10-AI10-AJ10-AK10-AL10</f>
        <v>0</v>
      </c>
      <c r="AN10" s="51"/>
      <c r="AO10" s="52"/>
    </row>
    <row r="11" spans="2:41" s="39" customFormat="1" ht="11.25">
      <c r="B11" s="40">
        <v>44318</v>
      </c>
      <c r="C11" s="43">
        <v>12860548.68</v>
      </c>
      <c r="D11" s="43"/>
      <c r="E11" s="43">
        <v>11094235.41</v>
      </c>
      <c r="F11" s="43"/>
      <c r="G11" s="43"/>
      <c r="H11" s="43"/>
      <c r="I11" s="43">
        <v>501468.5</v>
      </c>
      <c r="J11" s="41"/>
      <c r="K11" s="41"/>
      <c r="L11" s="41"/>
      <c r="M11" s="41"/>
      <c r="N11" s="41"/>
      <c r="O11" s="41"/>
      <c r="P11" s="41"/>
      <c r="Q11" s="42">
        <f t="shared" si="0"/>
        <v>118106.65</v>
      </c>
      <c r="R11" s="41"/>
      <c r="S11" s="43">
        <f>'[1]Worksheet'!$G$6</f>
        <v>6693.85</v>
      </c>
      <c r="T11" s="43"/>
      <c r="U11" s="43">
        <v>108311.4</v>
      </c>
      <c r="V11" s="41"/>
      <c r="W11" s="43">
        <f t="shared" si="1"/>
        <v>1031732.8699999995</v>
      </c>
      <c r="X11" s="41"/>
      <c r="Y11" s="44"/>
      <c r="Z11" s="41"/>
      <c r="AA11" s="41">
        <f t="shared" si="2"/>
        <v>1031732.8699999995</v>
      </c>
      <c r="AC11" s="45"/>
      <c r="AE11" s="46"/>
      <c r="AF11" s="47">
        <f aca="true" t="shared" si="4" ref="AF11:AF37">+AF10+1</f>
        <v>44318</v>
      </c>
      <c r="AG11" s="48"/>
      <c r="AH11" s="44"/>
      <c r="AI11" s="44"/>
      <c r="AJ11" s="44"/>
      <c r="AK11" s="44"/>
      <c r="AL11" s="44"/>
      <c r="AM11" s="50">
        <f t="shared" si="3"/>
        <v>0</v>
      </c>
      <c r="AN11" s="51"/>
      <c r="AO11" s="52"/>
    </row>
    <row r="12" spans="2:41" s="39" customFormat="1" ht="11.25">
      <c r="B12" s="40">
        <v>44319</v>
      </c>
      <c r="C12" s="43">
        <v>9243600.41</v>
      </c>
      <c r="D12" s="43"/>
      <c r="E12" s="43">
        <v>8143123.09</v>
      </c>
      <c r="F12" s="43"/>
      <c r="G12" s="43"/>
      <c r="H12" s="43"/>
      <c r="I12" s="43">
        <v>356963.54</v>
      </c>
      <c r="J12" s="41"/>
      <c r="K12" s="41"/>
      <c r="L12" s="41"/>
      <c r="M12" s="41"/>
      <c r="N12" s="41"/>
      <c r="O12" s="41"/>
      <c r="P12" s="41"/>
      <c r="Q12" s="42">
        <f t="shared" si="0"/>
        <v>83430.66</v>
      </c>
      <c r="R12" s="41"/>
      <c r="S12" s="43">
        <f>'[1]Worksheet'!$H$6</f>
        <v>6472.450000000001</v>
      </c>
      <c r="T12" s="43"/>
      <c r="U12" s="43">
        <v>108670.44</v>
      </c>
      <c r="V12" s="41"/>
      <c r="W12" s="43">
        <f t="shared" si="1"/>
        <v>544940.2300000002</v>
      </c>
      <c r="X12" s="41"/>
      <c r="Y12" s="41"/>
      <c r="Z12" s="41"/>
      <c r="AA12" s="41">
        <f t="shared" si="2"/>
        <v>544940.2300000002</v>
      </c>
      <c r="AC12" s="45"/>
      <c r="AE12" s="46"/>
      <c r="AF12" s="47">
        <f t="shared" si="4"/>
        <v>44319</v>
      </c>
      <c r="AG12" s="48"/>
      <c r="AH12" s="44"/>
      <c r="AI12" s="44"/>
      <c r="AJ12" s="44"/>
      <c r="AK12" s="44"/>
      <c r="AL12" s="44"/>
      <c r="AM12" s="50">
        <f t="shared" si="3"/>
        <v>0</v>
      </c>
      <c r="AN12" s="51"/>
      <c r="AO12" s="52"/>
    </row>
    <row r="13" spans="2:41" s="39" customFormat="1" ht="11.25">
      <c r="B13" s="40">
        <v>44320</v>
      </c>
      <c r="C13" s="43">
        <v>8875983.78</v>
      </c>
      <c r="E13" s="43">
        <v>7650133.7</v>
      </c>
      <c r="I13" s="43">
        <v>296544.25</v>
      </c>
      <c r="J13" s="41"/>
      <c r="K13" s="41"/>
      <c r="L13" s="41"/>
      <c r="M13" s="41"/>
      <c r="N13" s="41"/>
      <c r="O13" s="41"/>
      <c r="P13" s="41"/>
      <c r="Q13" s="42">
        <f t="shared" si="0"/>
        <v>83328.94</v>
      </c>
      <c r="R13" s="41"/>
      <c r="S13" s="43">
        <f>'[1]Worksheet'!$I$6</f>
        <v>6351.319999999999</v>
      </c>
      <c r="T13" s="43"/>
      <c r="U13" s="43">
        <v>82557.44</v>
      </c>
      <c r="V13" s="41"/>
      <c r="W13" s="43">
        <f t="shared" si="1"/>
        <v>757068.1299999992</v>
      </c>
      <c r="X13" s="41"/>
      <c r="Y13" s="44"/>
      <c r="Z13" s="41"/>
      <c r="AA13" s="41">
        <f t="shared" si="2"/>
        <v>757068.1299999992</v>
      </c>
      <c r="AC13" s="45"/>
      <c r="AE13" s="46"/>
      <c r="AF13" s="47">
        <f t="shared" si="4"/>
        <v>44320</v>
      </c>
      <c r="AG13" s="48"/>
      <c r="AH13" s="44"/>
      <c r="AI13" s="44"/>
      <c r="AJ13" s="44"/>
      <c r="AK13" s="44"/>
      <c r="AL13" s="44"/>
      <c r="AM13" s="50">
        <f t="shared" si="3"/>
        <v>0</v>
      </c>
      <c r="AN13" s="51"/>
      <c r="AO13" s="52"/>
    </row>
    <row r="14" spans="2:41" s="39" customFormat="1" ht="11.25">
      <c r="B14" s="40">
        <v>44321</v>
      </c>
      <c r="C14" s="43">
        <v>10332211.4</v>
      </c>
      <c r="D14" s="43"/>
      <c r="E14" s="43">
        <v>9079994.33</v>
      </c>
      <c r="F14" s="43"/>
      <c r="G14" s="43"/>
      <c r="H14" s="43"/>
      <c r="I14" s="43">
        <v>381659.16</v>
      </c>
      <c r="J14" s="41"/>
      <c r="K14" s="41"/>
      <c r="L14" s="41"/>
      <c r="M14" s="41"/>
      <c r="N14" s="41"/>
      <c r="O14" s="41"/>
      <c r="P14" s="41"/>
      <c r="Q14" s="42">
        <f t="shared" si="0"/>
        <v>105970.35</v>
      </c>
      <c r="R14" s="41"/>
      <c r="S14" s="43">
        <f>'[1]Worksheet'!$J$6</f>
        <v>11163.919999999998</v>
      </c>
      <c r="T14" s="43"/>
      <c r="U14" s="43">
        <v>84223.12</v>
      </c>
      <c r="V14" s="41"/>
      <c r="W14" s="43">
        <f t="shared" si="1"/>
        <v>669200.5200000004</v>
      </c>
      <c r="X14" s="41"/>
      <c r="Y14" s="44"/>
      <c r="Z14" s="41"/>
      <c r="AA14" s="41">
        <f t="shared" si="2"/>
        <v>669200.5200000004</v>
      </c>
      <c r="AC14" s="45"/>
      <c r="AE14" s="46"/>
      <c r="AF14" s="47">
        <f t="shared" si="4"/>
        <v>44321</v>
      </c>
      <c r="AG14" s="48"/>
      <c r="AH14" s="44"/>
      <c r="AI14" s="44"/>
      <c r="AJ14" s="44"/>
      <c r="AK14" s="44"/>
      <c r="AL14" s="44"/>
      <c r="AM14" s="50">
        <f t="shared" si="3"/>
        <v>0</v>
      </c>
      <c r="AN14" s="51"/>
      <c r="AO14" s="52"/>
    </row>
    <row r="15" spans="2:41" s="39" customFormat="1" ht="11.25">
      <c r="B15" s="40">
        <v>44322</v>
      </c>
      <c r="C15" s="43">
        <v>10332210.34</v>
      </c>
      <c r="D15" s="43"/>
      <c r="E15" s="43">
        <v>8859575.87</v>
      </c>
      <c r="F15" s="43"/>
      <c r="G15" s="43"/>
      <c r="H15" s="43"/>
      <c r="I15" s="43">
        <v>375746.42</v>
      </c>
      <c r="J15" s="41"/>
      <c r="K15" s="41"/>
      <c r="L15" s="41"/>
      <c r="M15" s="41"/>
      <c r="N15" s="41"/>
      <c r="O15" s="41"/>
      <c r="P15" s="41"/>
      <c r="Q15" s="42">
        <f t="shared" si="0"/>
        <v>92063.21</v>
      </c>
      <c r="R15" s="41"/>
      <c r="S15" s="43">
        <f>'[1]Worksheet'!$K$6</f>
        <v>11566.389999999998</v>
      </c>
      <c r="T15" s="43"/>
      <c r="U15" s="43">
        <v>88185.43</v>
      </c>
      <c r="V15" s="41"/>
      <c r="W15" s="43">
        <f t="shared" si="1"/>
        <v>905073.0200000007</v>
      </c>
      <c r="X15" s="41"/>
      <c r="Y15" s="44"/>
      <c r="Z15" s="41"/>
      <c r="AA15" s="41">
        <f t="shared" si="2"/>
        <v>905073.0200000007</v>
      </c>
      <c r="AC15" s="45"/>
      <c r="AE15" s="46"/>
      <c r="AF15" s="47">
        <f t="shared" si="4"/>
        <v>44322</v>
      </c>
      <c r="AG15" s="48"/>
      <c r="AH15" s="44"/>
      <c r="AI15" s="44"/>
      <c r="AJ15" s="44"/>
      <c r="AK15" s="44"/>
      <c r="AL15" s="44"/>
      <c r="AM15" s="50">
        <f t="shared" si="3"/>
        <v>0</v>
      </c>
      <c r="AN15" s="51"/>
      <c r="AO15" s="52"/>
    </row>
    <row r="16" spans="2:41" s="39" customFormat="1" ht="11.25">
      <c r="B16" s="40">
        <v>44323</v>
      </c>
      <c r="C16" s="43">
        <v>15162865.65</v>
      </c>
      <c r="D16" s="43"/>
      <c r="E16" s="43">
        <v>13038001.24</v>
      </c>
      <c r="F16" s="43"/>
      <c r="G16" s="43"/>
      <c r="H16" s="43"/>
      <c r="I16" s="43">
        <v>499557.12</v>
      </c>
      <c r="J16" s="41"/>
      <c r="K16" s="41"/>
      <c r="L16" s="41"/>
      <c r="M16" s="41"/>
      <c r="N16" s="41"/>
      <c r="O16" s="41"/>
      <c r="P16" s="41"/>
      <c r="Q16" s="42">
        <f t="shared" si="0"/>
        <v>144657.00999999998</v>
      </c>
      <c r="R16" s="41"/>
      <c r="S16" s="43">
        <f>'[1]Worksheet'!$L$6</f>
        <v>12633.45</v>
      </c>
      <c r="T16" s="43"/>
      <c r="U16" s="43">
        <v>112422.63</v>
      </c>
      <c r="V16" s="41"/>
      <c r="W16" s="43">
        <f t="shared" si="1"/>
        <v>1355594.2000000002</v>
      </c>
      <c r="X16" s="41"/>
      <c r="Y16" s="44"/>
      <c r="Z16" s="41"/>
      <c r="AA16" s="41">
        <f t="shared" si="2"/>
        <v>1355594.2000000002</v>
      </c>
      <c r="AC16" s="45"/>
      <c r="AE16" s="46"/>
      <c r="AF16" s="47">
        <f t="shared" si="4"/>
        <v>44323</v>
      </c>
      <c r="AG16" s="48"/>
      <c r="AH16" s="44"/>
      <c r="AI16" s="44"/>
      <c r="AJ16" s="44"/>
      <c r="AK16" s="44"/>
      <c r="AL16" s="44"/>
      <c r="AM16" s="50">
        <f t="shared" si="3"/>
        <v>0</v>
      </c>
      <c r="AN16" s="51"/>
      <c r="AO16" s="52"/>
    </row>
    <row r="17" spans="2:41" s="39" customFormat="1" ht="11.25">
      <c r="B17" s="40">
        <v>44324</v>
      </c>
      <c r="C17" s="43">
        <v>17040581.76</v>
      </c>
      <c r="D17" s="43"/>
      <c r="E17" s="43">
        <v>14840435.09</v>
      </c>
      <c r="F17" s="43"/>
      <c r="G17" s="43"/>
      <c r="H17" s="43"/>
      <c r="I17" s="43">
        <v>636934.01</v>
      </c>
      <c r="J17" s="41"/>
      <c r="K17" s="41"/>
      <c r="L17" s="41"/>
      <c r="M17" s="41"/>
      <c r="N17" s="41"/>
      <c r="O17" s="41"/>
      <c r="P17" s="41"/>
      <c r="Q17" s="42">
        <f t="shared" si="0"/>
        <v>160660.74</v>
      </c>
      <c r="R17" s="41"/>
      <c r="S17" s="43">
        <f>'[1]Worksheet'!$M$6</f>
        <v>8500.5</v>
      </c>
      <c r="T17" s="43"/>
      <c r="U17" s="43">
        <v>124115.57</v>
      </c>
      <c r="V17" s="41"/>
      <c r="W17" s="43">
        <f t="shared" si="1"/>
        <v>1269935.8500000017</v>
      </c>
      <c r="X17" s="41"/>
      <c r="Y17" s="44"/>
      <c r="Z17" s="41"/>
      <c r="AA17" s="41">
        <f t="shared" si="2"/>
        <v>1269935.8500000017</v>
      </c>
      <c r="AC17" s="53"/>
      <c r="AE17" s="46"/>
      <c r="AF17" s="47">
        <f t="shared" si="4"/>
        <v>44324</v>
      </c>
      <c r="AG17" s="48"/>
      <c r="AH17" s="44"/>
      <c r="AI17" s="44"/>
      <c r="AJ17" s="44"/>
      <c r="AK17" s="44"/>
      <c r="AL17" s="44"/>
      <c r="AM17" s="50">
        <f t="shared" si="3"/>
        <v>0</v>
      </c>
      <c r="AN17" s="51"/>
      <c r="AO17" s="52"/>
    </row>
    <row r="18" spans="2:41" s="39" customFormat="1" ht="11.25">
      <c r="B18" s="40">
        <v>44325</v>
      </c>
      <c r="C18" s="43">
        <v>15439400.46</v>
      </c>
      <c r="D18" s="43"/>
      <c r="E18" s="43">
        <v>13235870.55</v>
      </c>
      <c r="F18" s="43"/>
      <c r="G18" s="43"/>
      <c r="H18" s="43"/>
      <c r="I18" s="43">
        <v>564337.39</v>
      </c>
      <c r="J18" s="41"/>
      <c r="K18" s="41"/>
      <c r="L18" s="41"/>
      <c r="M18" s="41"/>
      <c r="N18" s="41"/>
      <c r="O18" s="41"/>
      <c r="P18" s="41"/>
      <c r="Q18" s="42">
        <f t="shared" si="0"/>
        <v>147674.58000000002</v>
      </c>
      <c r="R18" s="41"/>
      <c r="S18" s="43">
        <f>'[1]Worksheet'!$N$6</f>
        <v>6777.84</v>
      </c>
      <c r="T18" s="43"/>
      <c r="U18" s="43">
        <v>116308.72</v>
      </c>
      <c r="V18" s="41"/>
      <c r="W18" s="43">
        <f t="shared" si="1"/>
        <v>1368431.38</v>
      </c>
      <c r="X18" s="41"/>
      <c r="Y18" s="44"/>
      <c r="Z18" s="41"/>
      <c r="AA18" s="41">
        <f t="shared" si="2"/>
        <v>1368431.38</v>
      </c>
      <c r="AC18" s="53"/>
      <c r="AE18" s="46"/>
      <c r="AF18" s="47">
        <f t="shared" si="4"/>
        <v>44325</v>
      </c>
      <c r="AG18" s="48"/>
      <c r="AH18" s="44"/>
      <c r="AI18" s="44"/>
      <c r="AJ18" s="44"/>
      <c r="AK18" s="44"/>
      <c r="AL18" s="44"/>
      <c r="AM18" s="50">
        <f t="shared" si="3"/>
        <v>0</v>
      </c>
      <c r="AN18" s="51"/>
      <c r="AO18" s="52"/>
    </row>
    <row r="19" spans="2:41" s="39" customFormat="1" ht="11.25">
      <c r="B19" s="40">
        <v>44326</v>
      </c>
      <c r="C19" s="43">
        <v>9217563.06</v>
      </c>
      <c r="D19" s="43"/>
      <c r="E19" s="43">
        <v>7913299.35</v>
      </c>
      <c r="F19" s="43"/>
      <c r="G19" s="43"/>
      <c r="H19" s="43"/>
      <c r="I19" s="43">
        <v>384092.32</v>
      </c>
      <c r="J19" s="41"/>
      <c r="K19" s="41"/>
      <c r="L19" s="41"/>
      <c r="M19" s="41"/>
      <c r="N19" s="41"/>
      <c r="O19" s="41"/>
      <c r="P19" s="41"/>
      <c r="Q19" s="42">
        <f t="shared" si="0"/>
        <v>89260.99</v>
      </c>
      <c r="R19" s="41"/>
      <c r="S19" s="43">
        <f>'[1]Worksheet'!$O$6</f>
        <v>7163.75</v>
      </c>
      <c r="T19" s="43"/>
      <c r="U19" s="43">
        <v>81574.25</v>
      </c>
      <c r="V19" s="41"/>
      <c r="W19" s="43">
        <f t="shared" si="1"/>
        <v>742172.4000000008</v>
      </c>
      <c r="X19" s="41"/>
      <c r="Y19" s="44"/>
      <c r="Z19" s="41"/>
      <c r="AA19" s="41">
        <f t="shared" si="2"/>
        <v>742172.4000000008</v>
      </c>
      <c r="AC19" s="53"/>
      <c r="AE19" s="46"/>
      <c r="AF19" s="47">
        <f t="shared" si="4"/>
        <v>44326</v>
      </c>
      <c r="AG19" s="48"/>
      <c r="AH19" s="44"/>
      <c r="AI19" s="44"/>
      <c r="AJ19" s="44"/>
      <c r="AK19" s="44"/>
      <c r="AL19" s="44"/>
      <c r="AM19" s="50">
        <f t="shared" si="3"/>
        <v>0</v>
      </c>
      <c r="AN19" s="51"/>
      <c r="AO19" s="52"/>
    </row>
    <row r="20" spans="2:41" s="39" customFormat="1" ht="11.25">
      <c r="B20" s="40">
        <v>44327</v>
      </c>
      <c r="C20" s="43">
        <v>9123507.92</v>
      </c>
      <c r="D20" s="43"/>
      <c r="E20" s="43">
        <v>7882166.27</v>
      </c>
      <c r="F20" s="43"/>
      <c r="G20" s="43"/>
      <c r="H20" s="43"/>
      <c r="I20" s="43">
        <v>424507.14</v>
      </c>
      <c r="J20" s="41"/>
      <c r="K20" s="41"/>
      <c r="L20" s="41"/>
      <c r="M20" s="41"/>
      <c r="N20" s="41"/>
      <c r="O20" s="41"/>
      <c r="P20" s="41"/>
      <c r="Q20" s="42">
        <f t="shared" si="0"/>
        <v>88319.23999999999</v>
      </c>
      <c r="R20" s="41"/>
      <c r="S20" s="43">
        <f>'[1]Worksheet'!$P$6</f>
        <v>4947.550000000001</v>
      </c>
      <c r="T20" s="43"/>
      <c r="U20" s="43">
        <v>92356.23</v>
      </c>
      <c r="V20" s="41"/>
      <c r="W20" s="43">
        <f t="shared" si="1"/>
        <v>631211.4900000003</v>
      </c>
      <c r="X20" s="41"/>
      <c r="Y20" s="44"/>
      <c r="Z20" s="41"/>
      <c r="AA20" s="41">
        <f t="shared" si="2"/>
        <v>631211.4900000003</v>
      </c>
      <c r="AC20" s="53"/>
      <c r="AE20" s="46"/>
      <c r="AF20" s="47">
        <f t="shared" si="4"/>
        <v>44327</v>
      </c>
      <c r="AG20" s="48"/>
      <c r="AH20" s="44"/>
      <c r="AI20" s="44"/>
      <c r="AJ20" s="44"/>
      <c r="AK20" s="44"/>
      <c r="AL20" s="44"/>
      <c r="AM20" s="50">
        <f t="shared" si="3"/>
        <v>0</v>
      </c>
      <c r="AN20" s="51"/>
      <c r="AO20" s="52"/>
    </row>
    <row r="21" spans="2:41" s="39" customFormat="1" ht="11.25">
      <c r="B21" s="40">
        <v>44328</v>
      </c>
      <c r="C21" s="43">
        <v>9784326.55</v>
      </c>
      <c r="D21" s="43"/>
      <c r="E21" s="43">
        <v>8477605.86</v>
      </c>
      <c r="F21" s="43"/>
      <c r="G21" s="43"/>
      <c r="H21" s="43"/>
      <c r="I21" s="43">
        <v>390380.69</v>
      </c>
      <c r="J21" s="41"/>
      <c r="K21" s="41"/>
      <c r="L21" s="41"/>
      <c r="M21" s="41"/>
      <c r="N21" s="41"/>
      <c r="O21" s="41"/>
      <c r="P21" s="41"/>
      <c r="Q21" s="42">
        <f t="shared" si="0"/>
        <v>88463.26000000001</v>
      </c>
      <c r="R21" s="41"/>
      <c r="S21" s="43">
        <f>'[1]Worksheet'!$Q$6</f>
        <v>8341.590000000002</v>
      </c>
      <c r="T21" s="43"/>
      <c r="U21" s="43">
        <v>88704.12</v>
      </c>
      <c r="V21" s="41"/>
      <c r="W21" s="43">
        <f t="shared" si="1"/>
        <v>730831.0300000014</v>
      </c>
      <c r="X21" s="41"/>
      <c r="Y21" s="44"/>
      <c r="Z21" s="41"/>
      <c r="AA21" s="41">
        <f t="shared" si="2"/>
        <v>730831.0300000014</v>
      </c>
      <c r="AC21" s="53"/>
      <c r="AE21" s="46"/>
      <c r="AF21" s="47">
        <f t="shared" si="4"/>
        <v>44328</v>
      </c>
      <c r="AG21" s="48"/>
      <c r="AH21" s="44"/>
      <c r="AI21" s="44"/>
      <c r="AJ21" s="44"/>
      <c r="AK21" s="44"/>
      <c r="AL21" s="44"/>
      <c r="AM21" s="50">
        <f t="shared" si="3"/>
        <v>0</v>
      </c>
      <c r="AN21" s="51"/>
      <c r="AO21" s="52"/>
    </row>
    <row r="22" spans="2:41" s="39" customFormat="1" ht="11.25">
      <c r="B22" s="40">
        <v>44329</v>
      </c>
      <c r="C22" s="43">
        <v>10171228.76</v>
      </c>
      <c r="D22" s="43"/>
      <c r="E22" s="43">
        <v>8738593.63</v>
      </c>
      <c r="F22" s="43"/>
      <c r="G22" s="43"/>
      <c r="H22" s="43"/>
      <c r="I22" s="43">
        <v>366533.24</v>
      </c>
      <c r="J22" s="41"/>
      <c r="K22" s="41"/>
      <c r="L22" s="41"/>
      <c r="M22" s="41"/>
      <c r="N22" s="41"/>
      <c r="O22" s="41"/>
      <c r="P22" s="41"/>
      <c r="Q22" s="42">
        <f t="shared" si="0"/>
        <v>89339.36</v>
      </c>
      <c r="R22" s="41"/>
      <c r="S22" s="43">
        <f>'[1]Worksheet'!$R$6</f>
        <v>10812.679999999998</v>
      </c>
      <c r="T22" s="43"/>
      <c r="U22" s="43">
        <v>110018.98</v>
      </c>
      <c r="V22" s="41"/>
      <c r="W22" s="43">
        <f t="shared" si="1"/>
        <v>855930.869999999</v>
      </c>
      <c r="X22" s="41"/>
      <c r="Y22" s="44"/>
      <c r="Z22" s="41"/>
      <c r="AA22" s="41">
        <f t="shared" si="2"/>
        <v>855930.869999999</v>
      </c>
      <c r="AC22" s="53"/>
      <c r="AE22" s="46"/>
      <c r="AF22" s="47">
        <f t="shared" si="4"/>
        <v>44329</v>
      </c>
      <c r="AG22" s="48"/>
      <c r="AH22" s="44"/>
      <c r="AI22" s="44"/>
      <c r="AJ22" s="44"/>
      <c r="AK22" s="44"/>
      <c r="AL22" s="44"/>
      <c r="AM22" s="50">
        <f t="shared" si="3"/>
        <v>0</v>
      </c>
      <c r="AN22" s="51"/>
      <c r="AO22" s="52"/>
    </row>
    <row r="23" spans="2:41" s="39" customFormat="1" ht="11.25">
      <c r="B23" s="40">
        <v>44330</v>
      </c>
      <c r="C23" s="43">
        <v>15451682.84</v>
      </c>
      <c r="D23" s="43"/>
      <c r="E23" s="43">
        <v>13279882.565</v>
      </c>
      <c r="F23" s="43"/>
      <c r="G23" s="43"/>
      <c r="H23" s="43"/>
      <c r="I23" s="43">
        <v>520411.12</v>
      </c>
      <c r="J23" s="41"/>
      <c r="K23" s="41"/>
      <c r="L23" s="41"/>
      <c r="M23" s="41"/>
      <c r="N23" s="41"/>
      <c r="O23" s="41"/>
      <c r="P23" s="41"/>
      <c r="Q23" s="42">
        <f t="shared" si="0"/>
        <v>147134.31</v>
      </c>
      <c r="R23" s="41"/>
      <c r="S23" s="43">
        <f>'[1]Worksheet'!$S$6</f>
        <v>7415.3</v>
      </c>
      <c r="T23" s="43"/>
      <c r="U23" s="43">
        <v>103126.76</v>
      </c>
      <c r="V23" s="41"/>
      <c r="W23" s="43">
        <f t="shared" si="1"/>
        <v>1393712.7850000001</v>
      </c>
      <c r="X23" s="41"/>
      <c r="Y23" s="44"/>
      <c r="Z23" s="41"/>
      <c r="AA23" s="41">
        <f t="shared" si="2"/>
        <v>1393712.7850000001</v>
      </c>
      <c r="AC23" s="53"/>
      <c r="AE23" s="46"/>
      <c r="AF23" s="47">
        <f t="shared" si="4"/>
        <v>44330</v>
      </c>
      <c r="AG23" s="48"/>
      <c r="AH23" s="44"/>
      <c r="AI23" s="44"/>
      <c r="AJ23" s="44"/>
      <c r="AK23" s="44"/>
      <c r="AL23" s="44"/>
      <c r="AM23" s="50">
        <f t="shared" si="3"/>
        <v>0</v>
      </c>
      <c r="AN23" s="51"/>
      <c r="AO23" s="52"/>
    </row>
    <row r="24" spans="2:41" s="39" customFormat="1" ht="11.25">
      <c r="B24" s="40">
        <v>44331</v>
      </c>
      <c r="C24" s="43">
        <v>19045830.54</v>
      </c>
      <c r="D24" s="43"/>
      <c r="E24" s="43">
        <v>16572335.28</v>
      </c>
      <c r="F24" s="43"/>
      <c r="G24" s="43"/>
      <c r="H24" s="43"/>
      <c r="I24" s="43">
        <v>610481.41</v>
      </c>
      <c r="J24" s="41"/>
      <c r="K24" s="41"/>
      <c r="L24" s="41"/>
      <c r="M24" s="41"/>
      <c r="N24" s="41"/>
      <c r="O24" s="41"/>
      <c r="P24" s="41"/>
      <c r="Q24" s="42">
        <f t="shared" si="0"/>
        <v>181772.45</v>
      </c>
      <c r="R24" s="41"/>
      <c r="S24" s="43">
        <f>'[1]Worksheet'!$T$6</f>
        <v>8075.02</v>
      </c>
      <c r="T24" s="43"/>
      <c r="U24" s="43">
        <v>123275.39</v>
      </c>
      <c r="V24" s="41"/>
      <c r="W24" s="43">
        <f t="shared" si="1"/>
        <v>1549890.9899999998</v>
      </c>
      <c r="X24" s="41"/>
      <c r="Y24" s="44"/>
      <c r="Z24" s="41"/>
      <c r="AA24" s="41">
        <f t="shared" si="2"/>
        <v>1549890.9899999998</v>
      </c>
      <c r="AC24" s="53"/>
      <c r="AE24" s="46"/>
      <c r="AF24" s="47">
        <f t="shared" si="4"/>
        <v>44331</v>
      </c>
      <c r="AG24" s="48"/>
      <c r="AH24" s="44"/>
      <c r="AI24" s="44"/>
      <c r="AJ24" s="44"/>
      <c r="AK24" s="44"/>
      <c r="AL24" s="44"/>
      <c r="AM24" s="50">
        <f t="shared" si="3"/>
        <v>0</v>
      </c>
      <c r="AN24" s="51"/>
      <c r="AO24" s="52"/>
    </row>
    <row r="25" spans="2:41" s="39" customFormat="1" ht="11.25">
      <c r="B25" s="40">
        <v>44332</v>
      </c>
      <c r="C25" s="43">
        <v>13944923.62</v>
      </c>
      <c r="D25" s="43"/>
      <c r="E25" s="43">
        <v>12087872.36</v>
      </c>
      <c r="F25" s="43"/>
      <c r="G25" s="43"/>
      <c r="H25" s="43"/>
      <c r="I25" s="43">
        <v>463166.88</v>
      </c>
      <c r="J25" s="41"/>
      <c r="K25" s="41"/>
      <c r="L25" s="41"/>
      <c r="M25" s="41"/>
      <c r="N25" s="41"/>
      <c r="O25" s="41"/>
      <c r="P25" s="41"/>
      <c r="Q25" s="42">
        <f t="shared" si="0"/>
        <v>128241.95000000001</v>
      </c>
      <c r="R25" s="41"/>
      <c r="S25" s="43">
        <f>'[1]Worksheet'!$U$6</f>
        <v>6176.589999999999</v>
      </c>
      <c r="T25" s="43"/>
      <c r="U25" s="43">
        <v>107124.42</v>
      </c>
      <c r="V25" s="41"/>
      <c r="W25" s="43">
        <f t="shared" si="1"/>
        <v>1152341.42</v>
      </c>
      <c r="X25" s="41"/>
      <c r="Y25" s="44"/>
      <c r="Z25" s="41"/>
      <c r="AA25" s="41">
        <f t="shared" si="2"/>
        <v>1152341.42</v>
      </c>
      <c r="AC25" s="53"/>
      <c r="AE25" s="46"/>
      <c r="AF25" s="47">
        <f t="shared" si="4"/>
        <v>44332</v>
      </c>
      <c r="AG25" s="48"/>
      <c r="AH25" s="44"/>
      <c r="AI25" s="44"/>
      <c r="AJ25" s="44"/>
      <c r="AK25" s="44"/>
      <c r="AL25" s="44"/>
      <c r="AM25" s="50">
        <f t="shared" si="3"/>
        <v>0</v>
      </c>
      <c r="AN25" s="51"/>
      <c r="AO25" s="52"/>
    </row>
    <row r="26" spans="2:41" s="39" customFormat="1" ht="11.25">
      <c r="B26" s="40">
        <v>44333</v>
      </c>
      <c r="C26" s="43">
        <v>9147777.89</v>
      </c>
      <c r="D26" s="43"/>
      <c r="E26" s="43">
        <v>7948957.16</v>
      </c>
      <c r="F26" s="43"/>
      <c r="G26" s="43"/>
      <c r="H26" s="43"/>
      <c r="I26" s="43">
        <v>342426.62</v>
      </c>
      <c r="J26" s="41"/>
      <c r="K26" s="41"/>
      <c r="L26" s="41"/>
      <c r="M26" s="41"/>
      <c r="N26" s="41"/>
      <c r="O26" s="41"/>
      <c r="P26" s="41"/>
      <c r="Q26" s="42">
        <f t="shared" si="0"/>
        <v>86346.93000000001</v>
      </c>
      <c r="R26" s="43"/>
      <c r="S26" s="43">
        <f>'[1]Worksheet'!$V$6</f>
        <v>6367.76</v>
      </c>
      <c r="T26" s="43"/>
      <c r="U26" s="43">
        <v>72045.93</v>
      </c>
      <c r="V26" s="41"/>
      <c r="W26" s="43">
        <f t="shared" si="1"/>
        <v>691633.4900000005</v>
      </c>
      <c r="X26" s="41"/>
      <c r="Y26" s="44"/>
      <c r="Z26" s="41"/>
      <c r="AA26" s="41">
        <f t="shared" si="2"/>
        <v>691633.4900000005</v>
      </c>
      <c r="AC26" s="53"/>
      <c r="AE26" s="46"/>
      <c r="AF26" s="47">
        <f t="shared" si="4"/>
        <v>44333</v>
      </c>
      <c r="AG26" s="48"/>
      <c r="AH26" s="44"/>
      <c r="AI26" s="44"/>
      <c r="AJ26" s="44"/>
      <c r="AK26" s="44"/>
      <c r="AL26" s="44"/>
      <c r="AM26" s="50">
        <f t="shared" si="3"/>
        <v>0</v>
      </c>
      <c r="AN26" s="51"/>
      <c r="AO26" s="52"/>
    </row>
    <row r="27" spans="2:41" s="39" customFormat="1" ht="11.25">
      <c r="B27" s="40">
        <v>44334</v>
      </c>
      <c r="C27" s="43">
        <v>8281870.18</v>
      </c>
      <c r="D27" s="43"/>
      <c r="E27" s="43">
        <v>7068639.85</v>
      </c>
      <c r="F27" s="43"/>
      <c r="G27" s="43"/>
      <c r="H27" s="43"/>
      <c r="I27" s="43">
        <v>330337.56</v>
      </c>
      <c r="J27" s="41"/>
      <c r="K27" s="41"/>
      <c r="L27" s="41"/>
      <c r="M27" s="41"/>
      <c r="N27" s="41"/>
      <c r="O27" s="41"/>
      <c r="P27" s="41"/>
      <c r="Q27" s="42">
        <f t="shared" si="0"/>
        <v>79760.71</v>
      </c>
      <c r="R27" s="43"/>
      <c r="S27" s="43">
        <f>'[1]Worksheet'!$W$6</f>
        <v>6170.869999999999</v>
      </c>
      <c r="T27" s="43"/>
      <c r="U27" s="43">
        <v>68790.67</v>
      </c>
      <c r="V27" s="41"/>
      <c r="W27" s="43">
        <f t="shared" si="1"/>
        <v>728170.52</v>
      </c>
      <c r="X27" s="41"/>
      <c r="Y27" s="44"/>
      <c r="Z27" s="41"/>
      <c r="AA27" s="41">
        <f t="shared" si="2"/>
        <v>728170.52</v>
      </c>
      <c r="AC27" s="54"/>
      <c r="AE27" s="46"/>
      <c r="AF27" s="47">
        <f t="shared" si="4"/>
        <v>44334</v>
      </c>
      <c r="AG27" s="48"/>
      <c r="AH27" s="44"/>
      <c r="AI27" s="44"/>
      <c r="AJ27" s="44"/>
      <c r="AK27" s="44"/>
      <c r="AL27" s="44"/>
      <c r="AM27" s="50">
        <f t="shared" si="3"/>
        <v>0</v>
      </c>
      <c r="AN27" s="51"/>
      <c r="AO27" s="52"/>
    </row>
    <row r="28" spans="2:41" s="39" customFormat="1" ht="11.25">
      <c r="B28" s="40">
        <v>44335</v>
      </c>
      <c r="C28" s="43">
        <v>9245282.03</v>
      </c>
      <c r="D28" s="43"/>
      <c r="E28" s="43">
        <v>7871349.03</v>
      </c>
      <c r="F28" s="43"/>
      <c r="G28" s="43"/>
      <c r="H28" s="43"/>
      <c r="I28" s="43">
        <v>397822.32</v>
      </c>
      <c r="J28" s="41"/>
      <c r="K28" s="41"/>
      <c r="L28" s="41"/>
      <c r="M28" s="41"/>
      <c r="N28" s="41"/>
      <c r="O28" s="41"/>
      <c r="P28" s="41"/>
      <c r="Q28" s="42">
        <f t="shared" si="0"/>
        <v>84375.35999999999</v>
      </c>
      <c r="R28" s="43"/>
      <c r="S28" s="43">
        <f>'[1]Worksheet'!$X$6</f>
        <v>11463.57</v>
      </c>
      <c r="T28" s="43"/>
      <c r="U28" s="43">
        <v>72261.34</v>
      </c>
      <c r="V28" s="41"/>
      <c r="W28" s="43">
        <f t="shared" si="1"/>
        <v>808010.4099999991</v>
      </c>
      <c r="X28" s="41"/>
      <c r="Y28" s="44"/>
      <c r="Z28" s="41"/>
      <c r="AA28" s="41">
        <f t="shared" si="2"/>
        <v>808010.4099999991</v>
      </c>
      <c r="AC28" s="54"/>
      <c r="AE28" s="46"/>
      <c r="AF28" s="47">
        <f t="shared" si="4"/>
        <v>44335</v>
      </c>
      <c r="AG28" s="48"/>
      <c r="AH28" s="44"/>
      <c r="AI28" s="44"/>
      <c r="AJ28" s="44"/>
      <c r="AK28" s="44"/>
      <c r="AL28" s="44"/>
      <c r="AM28" s="50">
        <f t="shared" si="3"/>
        <v>0</v>
      </c>
      <c r="AN28" s="51"/>
      <c r="AO28" s="52"/>
    </row>
    <row r="29" spans="2:41" s="39" customFormat="1" ht="11.25">
      <c r="B29" s="40">
        <v>44336</v>
      </c>
      <c r="C29" s="43">
        <v>9358553.64</v>
      </c>
      <c r="D29" s="43"/>
      <c r="E29" s="43">
        <v>7942994.01</v>
      </c>
      <c r="F29" s="43"/>
      <c r="G29" s="43"/>
      <c r="H29" s="43"/>
      <c r="I29" s="43">
        <v>322756.12</v>
      </c>
      <c r="J29" s="41"/>
      <c r="K29" s="41"/>
      <c r="L29" s="41"/>
      <c r="M29" s="41"/>
      <c r="N29" s="41"/>
      <c r="O29" s="41"/>
      <c r="P29" s="41"/>
      <c r="Q29" s="42">
        <f t="shared" si="0"/>
        <v>83759.79</v>
      </c>
      <c r="R29" s="43"/>
      <c r="S29" s="43">
        <f>'[1]Worksheet'!$Y$6</f>
        <v>12097.829999999998</v>
      </c>
      <c r="T29" s="43"/>
      <c r="U29" s="43">
        <v>74200.91</v>
      </c>
      <c r="V29" s="41"/>
      <c r="W29" s="43">
        <f t="shared" si="1"/>
        <v>922744.9800000007</v>
      </c>
      <c r="X29" s="41"/>
      <c r="Y29" s="44"/>
      <c r="Z29" s="41"/>
      <c r="AA29" s="41">
        <f t="shared" si="2"/>
        <v>922744.9800000007</v>
      </c>
      <c r="AC29" s="53"/>
      <c r="AE29" s="46"/>
      <c r="AF29" s="47">
        <f t="shared" si="4"/>
        <v>44336</v>
      </c>
      <c r="AG29" s="48"/>
      <c r="AH29" s="44"/>
      <c r="AI29" s="44"/>
      <c r="AJ29" s="44"/>
      <c r="AK29" s="44"/>
      <c r="AL29" s="44"/>
      <c r="AM29" s="50">
        <f t="shared" si="3"/>
        <v>0</v>
      </c>
      <c r="AN29" s="51"/>
      <c r="AO29" s="52"/>
    </row>
    <row r="30" spans="2:41" s="39" customFormat="1" ht="11.25">
      <c r="B30" s="40">
        <v>44337</v>
      </c>
      <c r="C30" s="43">
        <v>15793921.04</v>
      </c>
      <c r="D30" s="43"/>
      <c r="E30" s="43">
        <v>13574961.04</v>
      </c>
      <c r="F30" s="43"/>
      <c r="G30" s="43"/>
      <c r="H30" s="43"/>
      <c r="I30" s="43">
        <v>572756.77</v>
      </c>
      <c r="J30" s="41"/>
      <c r="K30" s="41"/>
      <c r="L30" s="41"/>
      <c r="M30" s="41"/>
      <c r="N30" s="41"/>
      <c r="O30" s="41"/>
      <c r="P30" s="41"/>
      <c r="Q30" s="42">
        <f t="shared" si="0"/>
        <v>141526.58000000002</v>
      </c>
      <c r="R30" s="41"/>
      <c r="S30" s="43">
        <f>'[1]Worksheet'!$Z$6</f>
        <v>9113.019999999999</v>
      </c>
      <c r="T30" s="41"/>
      <c r="U30" s="43">
        <v>139947.91</v>
      </c>
      <c r="V30" s="41"/>
      <c r="W30" s="43">
        <f t="shared" si="1"/>
        <v>1355615.72</v>
      </c>
      <c r="X30" s="41"/>
      <c r="Y30" s="44"/>
      <c r="Z30" s="41"/>
      <c r="AA30" s="41">
        <f t="shared" si="2"/>
        <v>1355615.72</v>
      </c>
      <c r="AC30" s="53"/>
      <c r="AE30" s="46"/>
      <c r="AF30" s="47">
        <f t="shared" si="4"/>
        <v>44337</v>
      </c>
      <c r="AG30" s="48"/>
      <c r="AH30" s="44"/>
      <c r="AI30" s="44"/>
      <c r="AJ30" s="44"/>
      <c r="AK30" s="44"/>
      <c r="AL30" s="44"/>
      <c r="AM30" s="50">
        <f t="shared" si="3"/>
        <v>0</v>
      </c>
      <c r="AN30" s="51"/>
      <c r="AO30" s="52"/>
    </row>
    <row r="31" spans="2:41" s="39" customFormat="1" ht="11.25">
      <c r="B31" s="40">
        <v>44338</v>
      </c>
      <c r="C31" s="43">
        <v>19212958.43</v>
      </c>
      <c r="D31" s="43"/>
      <c r="E31" s="43">
        <v>16430304.03</v>
      </c>
      <c r="F31" s="43"/>
      <c r="G31" s="43"/>
      <c r="H31" s="43"/>
      <c r="I31" s="43">
        <v>791244.23</v>
      </c>
      <c r="J31" s="41"/>
      <c r="K31" s="41"/>
      <c r="L31" s="41"/>
      <c r="M31" s="41"/>
      <c r="N31" s="41"/>
      <c r="O31" s="41"/>
      <c r="P31" s="41"/>
      <c r="Q31" s="42">
        <f t="shared" si="0"/>
        <v>187499.77</v>
      </c>
      <c r="R31" s="41"/>
      <c r="S31" s="43">
        <f>'[1]Worksheet'!$AA$6</f>
        <v>6517.01</v>
      </c>
      <c r="T31" s="41"/>
      <c r="U31" s="43">
        <v>168936.23</v>
      </c>
      <c r="V31" s="41"/>
      <c r="W31" s="43">
        <f t="shared" si="1"/>
        <v>1628457.1600000004</v>
      </c>
      <c r="X31" s="41"/>
      <c r="Y31" s="44"/>
      <c r="Z31" s="41"/>
      <c r="AA31" s="41">
        <f t="shared" si="2"/>
        <v>1628457.1600000004</v>
      </c>
      <c r="AC31" s="53"/>
      <c r="AE31" s="46"/>
      <c r="AF31" s="47">
        <f t="shared" si="4"/>
        <v>44338</v>
      </c>
      <c r="AG31" s="48"/>
      <c r="AH31" s="44"/>
      <c r="AI31" s="44"/>
      <c r="AJ31" s="44"/>
      <c r="AK31" s="44"/>
      <c r="AL31" s="44"/>
      <c r="AM31" s="50">
        <f t="shared" si="3"/>
        <v>0</v>
      </c>
      <c r="AN31" s="51"/>
      <c r="AO31" s="52"/>
    </row>
    <row r="32" spans="1:41" s="39" customFormat="1" ht="11.25">
      <c r="A32" s="39">
        <v>0</v>
      </c>
      <c r="B32" s="40">
        <v>44339</v>
      </c>
      <c r="C32" s="43">
        <v>15045825.04</v>
      </c>
      <c r="D32" s="43"/>
      <c r="E32" s="43">
        <v>12939131.26</v>
      </c>
      <c r="F32" s="43"/>
      <c r="G32" s="43"/>
      <c r="H32" s="43"/>
      <c r="I32" s="43">
        <v>488317.28</v>
      </c>
      <c r="J32" s="41"/>
      <c r="K32" s="41"/>
      <c r="L32" s="41"/>
      <c r="M32" s="41"/>
      <c r="N32" s="41"/>
      <c r="O32" s="41"/>
      <c r="P32" s="41"/>
      <c r="Q32" s="42">
        <f t="shared" si="0"/>
        <v>149154.16</v>
      </c>
      <c r="R32" s="41"/>
      <c r="S32" s="43">
        <f>'[1]Worksheet'!$AB$6</f>
        <v>5050.66</v>
      </c>
      <c r="T32" s="41"/>
      <c r="U32" s="43">
        <v>100095.17</v>
      </c>
      <c r="V32" s="41"/>
      <c r="W32" s="43">
        <f t="shared" si="1"/>
        <v>1364076.5099999995</v>
      </c>
      <c r="X32" s="41"/>
      <c r="Y32" s="44"/>
      <c r="Z32" s="41"/>
      <c r="AA32" s="41">
        <f t="shared" si="2"/>
        <v>1364076.5099999995</v>
      </c>
      <c r="AC32" s="53"/>
      <c r="AE32" s="46"/>
      <c r="AF32" s="47">
        <f>+AF31+1</f>
        <v>44339</v>
      </c>
      <c r="AG32" s="48"/>
      <c r="AH32" s="44"/>
      <c r="AI32" s="44"/>
      <c r="AJ32" s="44"/>
      <c r="AK32" s="44"/>
      <c r="AL32" s="44"/>
      <c r="AM32" s="50">
        <f t="shared" si="3"/>
        <v>0</v>
      </c>
      <c r="AN32" s="51"/>
      <c r="AO32" s="52"/>
    </row>
    <row r="33" spans="2:41" s="39" customFormat="1" ht="11.25">
      <c r="B33" s="40">
        <v>44340</v>
      </c>
      <c r="C33" s="43">
        <v>9779090.61</v>
      </c>
      <c r="D33" s="43"/>
      <c r="E33" s="43">
        <v>8435971.82</v>
      </c>
      <c r="F33" s="43"/>
      <c r="G33" s="43"/>
      <c r="H33" s="43"/>
      <c r="I33" s="43">
        <v>348435.61</v>
      </c>
      <c r="J33" s="41"/>
      <c r="K33" s="41"/>
      <c r="L33" s="41"/>
      <c r="M33" s="41"/>
      <c r="N33" s="41"/>
      <c r="O33" s="41"/>
      <c r="P33" s="41"/>
      <c r="Q33" s="42">
        <f t="shared" si="0"/>
        <v>100251.38</v>
      </c>
      <c r="R33" s="41"/>
      <c r="S33" s="43">
        <f>'[1]Worksheet'!$AC$6</f>
        <v>5361.449999999998</v>
      </c>
      <c r="T33" s="41"/>
      <c r="U33" s="43">
        <v>96084.23</v>
      </c>
      <c r="V33" s="41"/>
      <c r="W33" s="43">
        <f t="shared" si="1"/>
        <v>792986.1199999992</v>
      </c>
      <c r="X33" s="41"/>
      <c r="Y33" s="44"/>
      <c r="Z33" s="41"/>
      <c r="AA33" s="41">
        <f t="shared" si="2"/>
        <v>792986.1199999992</v>
      </c>
      <c r="AC33" s="53"/>
      <c r="AE33" s="46"/>
      <c r="AF33" s="47">
        <f t="shared" si="4"/>
        <v>44340</v>
      </c>
      <c r="AG33" s="48"/>
      <c r="AH33" s="44"/>
      <c r="AI33" s="44"/>
      <c r="AJ33" s="44"/>
      <c r="AK33" s="55"/>
      <c r="AL33" s="44"/>
      <c r="AM33" s="50">
        <f t="shared" si="3"/>
        <v>0</v>
      </c>
      <c r="AN33" s="51"/>
      <c r="AO33" s="52"/>
    </row>
    <row r="34" spans="2:41" s="39" customFormat="1" ht="11.25">
      <c r="B34" s="40">
        <v>44341</v>
      </c>
      <c r="C34" s="43">
        <v>6545365.09</v>
      </c>
      <c r="D34" s="43"/>
      <c r="E34" s="43">
        <v>5679078.27</v>
      </c>
      <c r="F34" s="43"/>
      <c r="G34" s="43"/>
      <c r="H34" s="43"/>
      <c r="I34" s="43">
        <v>221284.16</v>
      </c>
      <c r="J34" s="41"/>
      <c r="K34" s="41"/>
      <c r="L34" s="41"/>
      <c r="M34" s="41"/>
      <c r="N34" s="41"/>
      <c r="O34" s="41"/>
      <c r="P34" s="41"/>
      <c r="Q34" s="42">
        <f t="shared" si="0"/>
        <v>58579.340000000004</v>
      </c>
      <c r="R34" s="41"/>
      <c r="S34" s="43">
        <f>'[1]Worksheet'!$AD$6</f>
        <v>4917.24</v>
      </c>
      <c r="T34" s="41"/>
      <c r="U34" s="43">
        <v>57651.06</v>
      </c>
      <c r="V34" s="41"/>
      <c r="W34" s="43">
        <f t="shared" si="1"/>
        <v>523855.0200000003</v>
      </c>
      <c r="X34" s="41"/>
      <c r="Y34" s="44"/>
      <c r="Z34" s="41"/>
      <c r="AA34" s="41">
        <f t="shared" si="2"/>
        <v>523855.0200000003</v>
      </c>
      <c r="AC34" s="53"/>
      <c r="AE34" s="46"/>
      <c r="AF34" s="47">
        <f t="shared" si="4"/>
        <v>44341</v>
      </c>
      <c r="AG34" s="48"/>
      <c r="AH34" s="44"/>
      <c r="AI34" s="44"/>
      <c r="AJ34" s="44"/>
      <c r="AK34" s="44"/>
      <c r="AL34" s="44"/>
      <c r="AM34" s="50">
        <f t="shared" si="3"/>
        <v>0</v>
      </c>
      <c r="AN34" s="51"/>
      <c r="AO34" s="52"/>
    </row>
    <row r="35" spans="2:41" s="39" customFormat="1" ht="11.25">
      <c r="B35" s="40">
        <v>44342</v>
      </c>
      <c r="C35" s="43">
        <v>8107805.32</v>
      </c>
      <c r="D35" s="43"/>
      <c r="E35" s="43">
        <v>7030895.57</v>
      </c>
      <c r="F35" s="43"/>
      <c r="G35" s="43"/>
      <c r="H35" s="43"/>
      <c r="I35" s="43">
        <v>312928.31</v>
      </c>
      <c r="J35" s="41"/>
      <c r="K35" s="41"/>
      <c r="L35" s="41"/>
      <c r="M35" s="41"/>
      <c r="N35" s="41"/>
      <c r="O35" s="41"/>
      <c r="P35" s="41"/>
      <c r="Q35" s="42">
        <f t="shared" si="0"/>
        <v>72108.93</v>
      </c>
      <c r="R35" s="41"/>
      <c r="S35" s="43">
        <f>'[1]Worksheet'!$AE$6</f>
        <v>10942.750000000002</v>
      </c>
      <c r="T35" s="41"/>
      <c r="U35" s="43">
        <v>59899.8</v>
      </c>
      <c r="V35" s="41"/>
      <c r="W35" s="43">
        <f t="shared" si="1"/>
        <v>621029.96</v>
      </c>
      <c r="X35" s="41"/>
      <c r="Y35" s="41"/>
      <c r="Z35" s="41"/>
      <c r="AA35" s="41">
        <f t="shared" si="2"/>
        <v>621029.96</v>
      </c>
      <c r="AC35" s="53"/>
      <c r="AE35" s="46"/>
      <c r="AF35" s="47">
        <f t="shared" si="4"/>
        <v>44342</v>
      </c>
      <c r="AG35" s="48"/>
      <c r="AH35" s="44"/>
      <c r="AI35" s="44"/>
      <c r="AJ35" s="44"/>
      <c r="AK35" s="44"/>
      <c r="AL35" s="44"/>
      <c r="AM35" s="50">
        <f t="shared" si="3"/>
        <v>0</v>
      </c>
      <c r="AN35" s="51"/>
      <c r="AO35" s="52"/>
    </row>
    <row r="36" spans="2:41" s="39" customFormat="1" ht="10.5" customHeight="1">
      <c r="B36" s="40">
        <v>44343</v>
      </c>
      <c r="C36" s="43">
        <v>3477752.89</v>
      </c>
      <c r="D36" s="43"/>
      <c r="E36" s="43">
        <v>2960466.4</v>
      </c>
      <c r="F36" s="43"/>
      <c r="G36" s="43"/>
      <c r="H36" s="43"/>
      <c r="I36" s="43">
        <v>117774.19</v>
      </c>
      <c r="J36" s="41"/>
      <c r="K36" s="41"/>
      <c r="L36" s="41"/>
      <c r="M36" s="41"/>
      <c r="N36" s="41"/>
      <c r="O36" s="41"/>
      <c r="P36" s="41"/>
      <c r="Q36" s="42">
        <f t="shared" si="0"/>
        <v>21260.38</v>
      </c>
      <c r="R36" s="41"/>
      <c r="S36" s="43">
        <f>'[1]Worksheet'!$AF$6</f>
        <v>13579.73</v>
      </c>
      <c r="T36" s="41"/>
      <c r="U36" s="43">
        <v>51882.89</v>
      </c>
      <c r="V36" s="41"/>
      <c r="W36" s="43">
        <f t="shared" si="1"/>
        <v>312789.3000000002</v>
      </c>
      <c r="X36" s="41"/>
      <c r="Y36" s="41"/>
      <c r="Z36" s="41"/>
      <c r="AA36" s="41">
        <f t="shared" si="2"/>
        <v>312789.3000000002</v>
      </c>
      <c r="AC36" s="53"/>
      <c r="AE36" s="46"/>
      <c r="AF36" s="47">
        <f t="shared" si="4"/>
        <v>44343</v>
      </c>
      <c r="AG36" s="48"/>
      <c r="AH36" s="44"/>
      <c r="AI36" s="44"/>
      <c r="AJ36" s="44"/>
      <c r="AK36" s="44"/>
      <c r="AL36" s="44"/>
      <c r="AM36" s="50">
        <f t="shared" si="3"/>
        <v>0</v>
      </c>
      <c r="AN36" s="51"/>
      <c r="AO36" s="52" t="s">
        <v>3</v>
      </c>
    </row>
    <row r="37" spans="2:41" s="39" customFormat="1" ht="11.25">
      <c r="B37" s="40">
        <v>44344</v>
      </c>
      <c r="C37" s="43">
        <v>5509.27</v>
      </c>
      <c r="D37" s="43"/>
      <c r="E37" s="43">
        <v>4085.97</v>
      </c>
      <c r="F37" s="43"/>
      <c r="G37" s="43"/>
      <c r="H37" s="43"/>
      <c r="I37" s="43">
        <v>0</v>
      </c>
      <c r="J37" s="41"/>
      <c r="K37" s="41"/>
      <c r="L37" s="41"/>
      <c r="M37" s="41"/>
      <c r="N37" s="41"/>
      <c r="O37" s="41"/>
      <c r="P37" s="41"/>
      <c r="Q37" s="42">
        <f t="shared" si="0"/>
        <v>-8717.22</v>
      </c>
      <c r="R37" s="41"/>
      <c r="S37" s="43">
        <f>'[1]Worksheet'!$AG$6</f>
        <v>8760.51</v>
      </c>
      <c r="T37" s="41"/>
      <c r="U37" s="43">
        <v>332.36</v>
      </c>
      <c r="V37" s="41"/>
      <c r="W37" s="43">
        <f t="shared" si="1"/>
        <v>1047.65</v>
      </c>
      <c r="X37" s="41"/>
      <c r="Y37" s="41"/>
      <c r="Z37" s="41"/>
      <c r="AA37" s="41">
        <f t="shared" si="2"/>
        <v>1047.65</v>
      </c>
      <c r="AC37" s="53"/>
      <c r="AE37" s="46"/>
      <c r="AF37" s="47">
        <f t="shared" si="4"/>
        <v>44344</v>
      </c>
      <c r="AG37" s="48"/>
      <c r="AH37" s="44"/>
      <c r="AI37" s="44"/>
      <c r="AJ37" s="44"/>
      <c r="AK37" s="44"/>
      <c r="AL37" s="44"/>
      <c r="AM37" s="50">
        <f t="shared" si="3"/>
        <v>0</v>
      </c>
      <c r="AN37" s="51"/>
      <c r="AO37" s="52"/>
    </row>
    <row r="38" spans="2:41" s="39" customFormat="1" ht="11.25">
      <c r="B38" s="40">
        <v>44345</v>
      </c>
      <c r="C38" s="43">
        <v>0</v>
      </c>
      <c r="D38" s="43"/>
      <c r="E38" s="43">
        <v>0</v>
      </c>
      <c r="F38" s="43"/>
      <c r="G38" s="43"/>
      <c r="H38" s="43"/>
      <c r="I38" s="43">
        <v>0</v>
      </c>
      <c r="J38" s="41"/>
      <c r="K38" s="41"/>
      <c r="L38" s="41"/>
      <c r="M38" s="41"/>
      <c r="N38" s="41"/>
      <c r="O38" s="41"/>
      <c r="P38" s="41"/>
      <c r="Q38" s="42">
        <f t="shared" si="0"/>
        <v>-5273.459999999999</v>
      </c>
      <c r="R38" s="41"/>
      <c r="S38" s="43">
        <f>'[1]Worksheet'!$AH$6</f>
        <v>5273.459999999999</v>
      </c>
      <c r="T38" s="41"/>
      <c r="U38" s="43">
        <v>0</v>
      </c>
      <c r="V38" s="41"/>
      <c r="W38" s="43">
        <f t="shared" si="1"/>
        <v>0</v>
      </c>
      <c r="X38" s="41"/>
      <c r="Y38" s="41"/>
      <c r="Z38" s="41"/>
      <c r="AA38" s="41">
        <f t="shared" si="2"/>
        <v>0</v>
      </c>
      <c r="AC38" s="53"/>
      <c r="AE38" s="46"/>
      <c r="AF38" s="47"/>
      <c r="AG38" s="48"/>
      <c r="AH38" s="44"/>
      <c r="AI38" s="44"/>
      <c r="AJ38" s="44"/>
      <c r="AK38" s="44"/>
      <c r="AL38" s="44"/>
      <c r="AM38" s="50"/>
      <c r="AN38" s="51"/>
      <c r="AO38" s="52"/>
    </row>
    <row r="39" spans="2:41" s="39" customFormat="1" ht="11.25">
      <c r="B39" s="40">
        <v>44346</v>
      </c>
      <c r="C39" s="43">
        <v>0</v>
      </c>
      <c r="D39" s="43"/>
      <c r="E39" s="43">
        <v>0</v>
      </c>
      <c r="F39" s="43"/>
      <c r="G39" s="43"/>
      <c r="H39" s="43"/>
      <c r="I39" s="43">
        <v>0</v>
      </c>
      <c r="J39" s="41"/>
      <c r="K39" s="41"/>
      <c r="L39" s="41"/>
      <c r="M39" s="41"/>
      <c r="N39" s="41"/>
      <c r="O39" s="41"/>
      <c r="P39" s="41"/>
      <c r="Q39" s="42">
        <f t="shared" si="0"/>
        <v>-7266.53</v>
      </c>
      <c r="R39" s="41"/>
      <c r="S39" s="43">
        <f>'[1]Worksheet'!$AI$6</f>
        <v>7266.53</v>
      </c>
      <c r="T39" s="41"/>
      <c r="U39" s="43">
        <v>0</v>
      </c>
      <c r="V39" s="41"/>
      <c r="W39" s="43">
        <f t="shared" si="1"/>
        <v>0</v>
      </c>
      <c r="X39" s="41"/>
      <c r="Y39" s="41"/>
      <c r="Z39" s="41"/>
      <c r="AA39" s="41">
        <f t="shared" si="2"/>
        <v>0</v>
      </c>
      <c r="AC39" s="53"/>
      <c r="AE39" s="46"/>
      <c r="AF39" s="47"/>
      <c r="AG39" s="48"/>
      <c r="AH39" s="44"/>
      <c r="AI39" s="44"/>
      <c r="AJ39" s="44"/>
      <c r="AK39" s="44"/>
      <c r="AL39" s="44"/>
      <c r="AM39" s="50"/>
      <c r="AN39" s="51"/>
      <c r="AO39" s="52"/>
    </row>
    <row r="40" spans="2:41" s="39" customFormat="1" ht="11.25">
      <c r="B40" s="40">
        <v>44347</v>
      </c>
      <c r="C40" s="43">
        <v>0</v>
      </c>
      <c r="D40" s="43"/>
      <c r="E40" s="43">
        <v>0</v>
      </c>
      <c r="F40" s="43"/>
      <c r="G40" s="43"/>
      <c r="H40" s="43"/>
      <c r="I40" s="43">
        <v>0</v>
      </c>
      <c r="J40" s="41"/>
      <c r="K40" s="41"/>
      <c r="L40" s="41"/>
      <c r="M40" s="41"/>
      <c r="N40" s="41"/>
      <c r="O40" s="41"/>
      <c r="P40" s="41"/>
      <c r="Q40" s="42">
        <f t="shared" si="0"/>
        <v>-8899.02</v>
      </c>
      <c r="R40" s="41"/>
      <c r="S40" s="43">
        <f>'[1]Worksheet'!$AJ$6</f>
        <v>8899.02</v>
      </c>
      <c r="T40" s="41"/>
      <c r="U40" s="43">
        <v>0</v>
      </c>
      <c r="V40" s="41"/>
      <c r="W40" s="43">
        <f t="shared" si="1"/>
        <v>0</v>
      </c>
      <c r="X40" s="41"/>
      <c r="Y40" s="41"/>
      <c r="Z40" s="41"/>
      <c r="AA40" s="41">
        <f t="shared" si="2"/>
        <v>0</v>
      </c>
      <c r="AC40" s="53"/>
      <c r="AE40" s="46"/>
      <c r="AF40" s="47"/>
      <c r="AG40" s="48"/>
      <c r="AH40" s="44"/>
      <c r="AI40" s="44"/>
      <c r="AJ40" s="44"/>
      <c r="AK40" s="44"/>
      <c r="AL40" s="44"/>
      <c r="AM40" s="50"/>
      <c r="AN40" s="51"/>
      <c r="AO40" s="52"/>
    </row>
    <row r="41" spans="2:41" s="56" customFormat="1" ht="14.25">
      <c r="B41" s="57" t="s">
        <v>31</v>
      </c>
      <c r="C41" s="58">
        <f>SUM(C10:C40)</f>
        <v>318173927.12999994</v>
      </c>
      <c r="D41" s="58"/>
      <c r="E41" s="58">
        <f>SUM(E10:E40)</f>
        <v>274421802.145</v>
      </c>
      <c r="F41" s="58"/>
      <c r="G41" s="58"/>
      <c r="H41" s="58"/>
      <c r="I41" s="58">
        <f>SUM(I10:I40)</f>
        <v>11680901.299999999</v>
      </c>
      <c r="J41" s="58"/>
      <c r="K41" s="58"/>
      <c r="L41" s="58"/>
      <c r="M41" s="58"/>
      <c r="N41" s="58"/>
      <c r="O41" s="58"/>
      <c r="P41" s="58"/>
      <c r="Q41" s="59">
        <f>SUM(Q10:Q40)</f>
        <v>2958819.61</v>
      </c>
      <c r="R41" s="58"/>
      <c r="S41" s="58">
        <f>SUM(S10:S40)</f>
        <v>253731.37</v>
      </c>
      <c r="T41" s="58"/>
      <c r="U41" s="58">
        <f>SUM(U10:U40)</f>
        <v>2628841.3599999994</v>
      </c>
      <c r="V41" s="58"/>
      <c r="W41" s="59">
        <f>SUM(W10:W40)</f>
        <v>26229831.345</v>
      </c>
      <c r="X41" s="58"/>
      <c r="Y41" s="58">
        <f>SUM(Y10:Y40)</f>
        <v>0</v>
      </c>
      <c r="Z41" s="58"/>
      <c r="AA41" s="58">
        <f>SUM(AA10:AA40)</f>
        <v>26229831.345</v>
      </c>
      <c r="AE41" s="60"/>
      <c r="AF41" s="61"/>
      <c r="AG41" s="62"/>
      <c r="AH41" s="63">
        <f aca="true" t="shared" si="5" ref="AH41:AM41">SUM(AH10:AH37)</f>
        <v>0</v>
      </c>
      <c r="AI41" s="63">
        <f t="shared" si="5"/>
        <v>0</v>
      </c>
      <c r="AJ41" s="63">
        <f t="shared" si="5"/>
        <v>0</v>
      </c>
      <c r="AK41" s="63">
        <f t="shared" si="5"/>
        <v>0</v>
      </c>
      <c r="AL41" s="63">
        <f t="shared" si="5"/>
        <v>0</v>
      </c>
      <c r="AM41" s="50">
        <f t="shared" si="5"/>
        <v>0</v>
      </c>
      <c r="AN41" s="33"/>
      <c r="AO41" s="63"/>
    </row>
    <row r="42" spans="2:40" s="56" customFormat="1" ht="11.25" thickBot="1">
      <c r="B42" s="61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64"/>
      <c r="S42" s="64"/>
      <c r="T42" s="64"/>
      <c r="U42" s="64"/>
      <c r="V42" s="64"/>
      <c r="W42" s="65"/>
      <c r="X42" s="64"/>
      <c r="Y42" s="64"/>
      <c r="Z42" s="64"/>
      <c r="AA42" s="64"/>
      <c r="AE42" s="66"/>
      <c r="AF42" s="67"/>
      <c r="AG42" s="68"/>
      <c r="AH42" s="67"/>
      <c r="AI42" s="67"/>
      <c r="AJ42" s="67"/>
      <c r="AK42" s="67"/>
      <c r="AL42" s="69"/>
      <c r="AM42" s="70"/>
      <c r="AN42" s="71"/>
    </row>
    <row r="43" spans="2:40" s="56" customFormat="1" ht="12" customHeight="1">
      <c r="B43" s="72" t="s">
        <v>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64"/>
      <c r="S43" s="64"/>
      <c r="T43" s="64"/>
      <c r="U43" s="64"/>
      <c r="V43" s="64"/>
      <c r="W43" s="144">
        <v>9.49</v>
      </c>
      <c r="X43" s="64"/>
      <c r="Y43" s="64"/>
      <c r="Z43" s="64"/>
      <c r="AA43" s="64">
        <f>W43</f>
        <v>9.49</v>
      </c>
      <c r="AE43" s="61"/>
      <c r="AF43" s="61"/>
      <c r="AG43" s="61"/>
      <c r="AH43" s="61"/>
      <c r="AI43" s="61"/>
      <c r="AJ43" s="61"/>
      <c r="AK43" s="61"/>
      <c r="AL43" s="61"/>
      <c r="AM43" s="73"/>
      <c r="AN43" s="74"/>
    </row>
    <row r="44" spans="2:40" s="56" customFormat="1" ht="12" customHeight="1">
      <c r="B44" s="72" t="s">
        <v>62</v>
      </c>
      <c r="C44" s="64">
        <v>754.5</v>
      </c>
      <c r="D44" s="64"/>
      <c r="E44" s="64">
        <v>443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64"/>
      <c r="S44" s="64">
        <v>0.6</v>
      </c>
      <c r="T44" s="64"/>
      <c r="U44" s="64"/>
      <c r="V44" s="64"/>
      <c r="W44" s="144">
        <f>+C44-E44-I44-Q44-S44-U44</f>
        <v>310.9</v>
      </c>
      <c r="X44" s="64"/>
      <c r="Y44" s="64"/>
      <c r="Z44" s="64"/>
      <c r="AA44" s="64">
        <f>W44</f>
        <v>310.9</v>
      </c>
      <c r="AE44" s="61"/>
      <c r="AF44" s="61"/>
      <c r="AG44" s="61"/>
      <c r="AH44" s="61"/>
      <c r="AI44" s="61"/>
      <c r="AJ44" s="61"/>
      <c r="AK44" s="61"/>
      <c r="AL44" s="61"/>
      <c r="AM44" s="73"/>
      <c r="AN44" s="74"/>
    </row>
    <row r="45" spans="3:40" s="56" customFormat="1" ht="10.5" customHeight="1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64"/>
      <c r="S45" s="64"/>
      <c r="T45" s="64"/>
      <c r="U45" s="64"/>
      <c r="V45" s="64"/>
      <c r="W45" s="144">
        <f>+C45-E45-I45-Q45-S45-U45</f>
        <v>0</v>
      </c>
      <c r="X45" s="64"/>
      <c r="Y45" s="64"/>
      <c r="Z45" s="64"/>
      <c r="AA45" s="64">
        <f>W45</f>
        <v>0</v>
      </c>
      <c r="AE45" s="61"/>
      <c r="AF45" s="61"/>
      <c r="AG45" s="61"/>
      <c r="AH45" s="61"/>
      <c r="AI45" s="61"/>
      <c r="AJ45" s="61"/>
      <c r="AK45" s="61"/>
      <c r="AL45" s="61"/>
      <c r="AM45" s="73"/>
      <c r="AN45" s="74"/>
    </row>
    <row r="46" spans="2:40" s="56" customFormat="1" ht="10.5">
      <c r="B46" s="61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5"/>
      <c r="R46" s="64"/>
      <c r="S46" s="64"/>
      <c r="T46" s="64"/>
      <c r="U46" s="64"/>
      <c r="V46" s="64"/>
      <c r="W46" s="65">
        <f>+C46-E46-Q46-U46</f>
        <v>0</v>
      </c>
      <c r="X46" s="64"/>
      <c r="Y46" s="64"/>
      <c r="Z46" s="64"/>
      <c r="AA46" s="64">
        <f>W46</f>
        <v>0</v>
      </c>
      <c r="AE46" s="61"/>
      <c r="AF46" s="61"/>
      <c r="AG46" s="61"/>
      <c r="AH46" s="61"/>
      <c r="AI46" s="61"/>
      <c r="AJ46" s="61"/>
      <c r="AK46" s="61"/>
      <c r="AL46" s="61"/>
      <c r="AM46" s="73"/>
      <c r="AN46" s="74"/>
    </row>
    <row r="47" spans="2:40" s="56" customFormat="1" ht="13.5" customHeight="1">
      <c r="B47" s="72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5"/>
      <c r="R47" s="64"/>
      <c r="S47" s="64"/>
      <c r="T47" s="64"/>
      <c r="U47" s="64"/>
      <c r="V47" s="64"/>
      <c r="W47" s="65"/>
      <c r="X47" s="64"/>
      <c r="Y47" s="64"/>
      <c r="Z47" s="64"/>
      <c r="AA47" s="64"/>
      <c r="AE47" s="61"/>
      <c r="AF47" s="61"/>
      <c r="AG47" s="61"/>
      <c r="AH47" s="61"/>
      <c r="AI47" s="61"/>
      <c r="AJ47" s="61"/>
      <c r="AK47" s="61"/>
      <c r="AL47" s="61"/>
      <c r="AM47" s="73"/>
      <c r="AN47" s="74"/>
    </row>
    <row r="48" spans="3:27" s="39" customFormat="1" ht="12" customHeight="1">
      <c r="C48" s="75"/>
      <c r="D48" s="41"/>
      <c r="E48" s="75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75"/>
      <c r="T48" s="41"/>
      <c r="U48" s="75"/>
      <c r="V48" s="41"/>
      <c r="W48" s="43"/>
      <c r="X48" s="41"/>
      <c r="Y48" s="41"/>
      <c r="Z48" s="41"/>
      <c r="AA48" s="43"/>
    </row>
    <row r="49" spans="1:27" s="56" customFormat="1" ht="11.25" thickBot="1">
      <c r="A49" s="56" t="s">
        <v>32</v>
      </c>
      <c r="B49" s="76" t="s">
        <v>33</v>
      </c>
      <c r="C49" s="77">
        <f>+C41+C44</f>
        <v>318174681.62999994</v>
      </c>
      <c r="D49" s="77"/>
      <c r="E49" s="77">
        <f>+E41+E44</f>
        <v>274422245.145</v>
      </c>
      <c r="F49" s="77">
        <f>+F41+F44</f>
        <v>0</v>
      </c>
      <c r="G49" s="77">
        <f>+G41+G44</f>
        <v>0</v>
      </c>
      <c r="H49" s="77"/>
      <c r="I49" s="77">
        <f aca="true" t="shared" si="6" ref="I49:O49">+I41+I44</f>
        <v>11680901.299999999</v>
      </c>
      <c r="J49" s="77">
        <f t="shared" si="6"/>
        <v>0</v>
      </c>
      <c r="K49" s="77">
        <f t="shared" si="6"/>
        <v>0</v>
      </c>
      <c r="L49" s="77">
        <f t="shared" si="6"/>
        <v>0</v>
      </c>
      <c r="M49" s="77">
        <f t="shared" si="6"/>
        <v>0</v>
      </c>
      <c r="N49" s="77">
        <f t="shared" si="6"/>
        <v>0</v>
      </c>
      <c r="O49" s="77">
        <f t="shared" si="6"/>
        <v>0</v>
      </c>
      <c r="P49" s="77"/>
      <c r="Q49" s="77">
        <f>+Q41+Q44+Q45+Q46</f>
        <v>2958819.61</v>
      </c>
      <c r="R49" s="77"/>
      <c r="S49" s="77">
        <f>+S41+S44</f>
        <v>253731.97</v>
      </c>
      <c r="T49" s="77"/>
      <c r="U49" s="77">
        <f>+U41+U44+U45</f>
        <v>2628841.3599999994</v>
      </c>
      <c r="V49" s="77"/>
      <c r="W49" s="78">
        <f>+W41+W43+W44+W45+W46</f>
        <v>26230151.734999996</v>
      </c>
      <c r="X49" s="77"/>
      <c r="Y49" s="77"/>
      <c r="Z49" s="77"/>
      <c r="AA49" s="77">
        <f>+AA41+AA43+AA44+AA45+AA46</f>
        <v>26230151.734999996</v>
      </c>
    </row>
    <row r="50" spans="3:27" s="39" customFormat="1" ht="12" thickTop="1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3"/>
      <c r="R50" s="41"/>
      <c r="S50" s="41"/>
      <c r="T50" s="41"/>
      <c r="U50" s="41"/>
      <c r="V50" s="41"/>
      <c r="W50" s="43"/>
      <c r="X50" s="41"/>
      <c r="Y50" s="41"/>
      <c r="Z50" s="41"/>
      <c r="AA50" s="41"/>
    </row>
    <row r="51" spans="17:27" s="39" customFormat="1" ht="11.25">
      <c r="Q51" s="79"/>
      <c r="W51" s="79"/>
      <c r="Y51" s="41"/>
      <c r="AA51" s="52"/>
    </row>
    <row r="52" spans="17:25" s="39" customFormat="1" ht="11.25">
      <c r="Q52" s="79"/>
      <c r="W52" s="79"/>
      <c r="Y52" s="41"/>
    </row>
    <row r="53" spans="2:25" s="39" customFormat="1" ht="11.25">
      <c r="B53" s="80" t="s">
        <v>34</v>
      </c>
      <c r="Q53" s="79"/>
      <c r="W53" s="79"/>
      <c r="Y53" s="41"/>
    </row>
    <row r="54" spans="17:25" s="39" customFormat="1" ht="6.75" customHeight="1">
      <c r="Q54" s="79"/>
      <c r="W54" s="79"/>
      <c r="Y54" s="41"/>
    </row>
    <row r="55" spans="2:27" s="39" customFormat="1" ht="11.25">
      <c r="B55" s="39" t="s">
        <v>35</v>
      </c>
      <c r="C55" s="81">
        <v>0.3157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3"/>
      <c r="R55" s="41"/>
      <c r="S55" s="41"/>
      <c r="T55" s="41"/>
      <c r="U55" s="41"/>
      <c r="V55" s="41"/>
      <c r="W55" s="43"/>
      <c r="X55" s="41"/>
      <c r="Y55" s="41"/>
      <c r="Z55" s="41"/>
      <c r="AA55" s="88">
        <f>(AA49-'Player Program'!Y59)*Total!C55</f>
        <v>8038214.089482497</v>
      </c>
    </row>
    <row r="56" spans="2:30" s="39" customFormat="1" ht="11.25">
      <c r="B56" s="39" t="s">
        <v>36</v>
      </c>
      <c r="C56" s="81">
        <v>0.01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3"/>
      <c r="R56" s="41"/>
      <c r="S56" s="41"/>
      <c r="T56" s="41"/>
      <c r="U56" s="41"/>
      <c r="V56" s="41"/>
      <c r="W56" s="43"/>
      <c r="X56" s="41"/>
      <c r="Y56" s="41"/>
      <c r="Z56" s="41"/>
      <c r="AA56" s="41">
        <f>(AA49-'Player Program'!Y59)*Total!C56</f>
        <v>254615.58724999995</v>
      </c>
      <c r="AD56" s="39" t="s">
        <v>3</v>
      </c>
    </row>
    <row r="57" spans="2:27" s="39" customFormat="1" ht="11.25">
      <c r="B57" s="39" t="s">
        <v>55</v>
      </c>
      <c r="C57" s="81">
        <v>0.09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3"/>
      <c r="R57" s="41"/>
      <c r="S57" s="41"/>
      <c r="T57" s="41"/>
      <c r="U57" s="41"/>
      <c r="V57" s="41"/>
      <c r="W57" s="43"/>
      <c r="X57" s="41"/>
      <c r="Y57" s="41"/>
      <c r="Z57" s="41"/>
      <c r="AA57" s="41">
        <f>'Player Program'!Y59*Total!C57</f>
        <v>69173.3709</v>
      </c>
    </row>
    <row r="58" spans="2:27" s="39" customFormat="1" ht="11.25">
      <c r="B58" s="39" t="s">
        <v>56</v>
      </c>
      <c r="C58" s="81">
        <v>0.01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/>
      <c r="R58" s="41"/>
      <c r="S58" s="41"/>
      <c r="T58" s="41"/>
      <c r="U58" s="41"/>
      <c r="V58" s="41"/>
      <c r="W58" s="43"/>
      <c r="X58" s="41"/>
      <c r="Y58" s="41"/>
      <c r="Z58" s="41"/>
      <c r="AA58" s="41">
        <f>'Player Program'!Y59*Total!C58</f>
        <v>7685.9301000000005</v>
      </c>
    </row>
    <row r="59" spans="3:27" s="39" customFormat="1" ht="11.25">
      <c r="C59" s="8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3"/>
      <c r="R59" s="41"/>
      <c r="S59" s="41"/>
      <c r="T59" s="41"/>
      <c r="U59" s="41"/>
      <c r="V59" s="41"/>
      <c r="W59" s="43"/>
      <c r="X59" s="41"/>
      <c r="Y59" s="41"/>
      <c r="Z59" s="41"/>
      <c r="AA59" s="41"/>
    </row>
    <row r="60" spans="5:27" s="39" customFormat="1" ht="6" customHeight="1"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3"/>
      <c r="R60" s="41"/>
      <c r="S60" s="41"/>
      <c r="T60" s="41"/>
      <c r="U60" s="41"/>
      <c r="V60" s="41"/>
      <c r="W60" s="43"/>
      <c r="X60" s="41"/>
      <c r="Y60" s="41"/>
      <c r="Z60" s="41"/>
      <c r="AA60" s="41"/>
    </row>
    <row r="61" spans="2:27" s="56" customFormat="1" ht="11.25" thickBot="1">
      <c r="B61" s="76" t="s">
        <v>37</v>
      </c>
      <c r="C61" s="82"/>
      <c r="D61" s="76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8"/>
      <c r="R61" s="77"/>
      <c r="S61" s="77"/>
      <c r="T61" s="77"/>
      <c r="U61" s="77"/>
      <c r="V61" s="77"/>
      <c r="W61" s="78"/>
      <c r="X61" s="77"/>
      <c r="Y61" s="77"/>
      <c r="Z61" s="77"/>
      <c r="AA61" s="77">
        <f>SUM(AA55:AA60)</f>
        <v>8369688.977732498</v>
      </c>
    </row>
    <row r="62" ht="15" thickTop="1"/>
    <row r="63" ht="14.25">
      <c r="B63" s="135"/>
    </row>
    <row r="65" spans="2:25" s="39" customFormat="1" ht="11.25">
      <c r="B65" s="80" t="s">
        <v>38</v>
      </c>
      <c r="Q65" s="79"/>
      <c r="W65" s="79"/>
      <c r="Y65" s="41"/>
    </row>
    <row r="66" spans="17:25" s="39" customFormat="1" ht="6.75" customHeight="1">
      <c r="Q66" s="79"/>
      <c r="W66" s="79"/>
      <c r="Y66" s="41"/>
    </row>
    <row r="67" spans="2:25" s="39" customFormat="1" ht="11.25">
      <c r="B67" s="83" t="s">
        <v>39</v>
      </c>
      <c r="Q67" s="79"/>
      <c r="W67" s="79"/>
      <c r="Y67" s="41"/>
    </row>
    <row r="68" spans="2:25" s="39" customFormat="1" ht="6.75" customHeight="1">
      <c r="B68" s="83"/>
      <c r="Q68" s="79"/>
      <c r="W68" s="79"/>
      <c r="Y68" s="41"/>
    </row>
    <row r="69" spans="2:25" s="39" customFormat="1" ht="11.25">
      <c r="B69" s="72" t="s">
        <v>40</v>
      </c>
      <c r="Q69" s="79"/>
      <c r="W69" s="79"/>
      <c r="Y69" s="41"/>
    </row>
    <row r="70" spans="17:25" s="39" customFormat="1" ht="12" customHeight="1">
      <c r="Q70" s="79"/>
      <c r="W70" s="79"/>
      <c r="Y70" s="41"/>
    </row>
    <row r="71" spans="2:27" s="39" customFormat="1" ht="11.25">
      <c r="B71" s="84" t="s">
        <v>38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6"/>
      <c r="R71" s="85"/>
      <c r="S71" s="85"/>
      <c r="T71" s="85"/>
      <c r="U71" s="85"/>
      <c r="V71" s="85"/>
      <c r="W71" s="86"/>
      <c r="X71" s="87"/>
      <c r="Y71" s="44"/>
      <c r="Z71" s="87"/>
      <c r="AA71" s="87"/>
    </row>
    <row r="72" spans="17:25" s="39" customFormat="1" ht="11.25">
      <c r="Q72" s="79"/>
      <c r="W72" s="79"/>
      <c r="Y72" s="41"/>
    </row>
    <row r="73" spans="17:25" s="39" customFormat="1" ht="11.25">
      <c r="Q73" s="79" t="s">
        <v>3</v>
      </c>
      <c r="W73" s="79"/>
      <c r="Y73" s="41"/>
    </row>
    <row r="74" spans="2:25" s="39" customFormat="1" ht="11.25">
      <c r="B74" s="40">
        <f>+B10</f>
        <v>44317</v>
      </c>
      <c r="C74" s="41"/>
      <c r="E74" s="41"/>
      <c r="I74" s="41"/>
      <c r="Q74" s="88">
        <v>184786.57</v>
      </c>
      <c r="W74" s="79"/>
      <c r="Y74" s="41"/>
    </row>
    <row r="75" spans="2:25" s="39" customFormat="1" ht="11.25">
      <c r="B75" s="40">
        <f aca="true" t="shared" si="7" ref="B75:B104">+B74+1</f>
        <v>44318</v>
      </c>
      <c r="Q75" s="88">
        <v>124800.5</v>
      </c>
      <c r="W75" s="79"/>
      <c r="Y75" s="41"/>
    </row>
    <row r="76" spans="2:25" s="39" customFormat="1" ht="11.25">
      <c r="B76" s="40">
        <f t="shared" si="7"/>
        <v>44319</v>
      </c>
      <c r="Q76" s="88">
        <v>89903.11</v>
      </c>
      <c r="W76" s="79"/>
      <c r="Y76" s="41"/>
    </row>
    <row r="77" spans="2:25" s="39" customFormat="1" ht="11.25">
      <c r="B77" s="40">
        <f t="shared" si="7"/>
        <v>44320</v>
      </c>
      <c r="Q77" s="88">
        <v>89680.26</v>
      </c>
      <c r="W77" s="79"/>
      <c r="Y77" s="41"/>
    </row>
    <row r="78" spans="2:25" s="39" customFormat="1" ht="11.25">
      <c r="B78" s="40">
        <f t="shared" si="7"/>
        <v>44321</v>
      </c>
      <c r="Q78" s="88">
        <v>117134.27</v>
      </c>
      <c r="W78" s="79"/>
      <c r="Y78" s="41"/>
    </row>
    <row r="79" spans="2:25" s="39" customFormat="1" ht="11.25">
      <c r="B79" s="40">
        <f t="shared" si="7"/>
        <v>44322</v>
      </c>
      <c r="Q79" s="88">
        <v>103629.6</v>
      </c>
      <c r="W79" s="79"/>
      <c r="Y79" s="41"/>
    </row>
    <row r="80" spans="2:25" s="39" customFormat="1" ht="11.25">
      <c r="B80" s="40">
        <f t="shared" si="7"/>
        <v>44323</v>
      </c>
      <c r="Q80" s="88">
        <v>157290.46</v>
      </c>
      <c r="W80" s="79"/>
      <c r="Y80" s="41"/>
    </row>
    <row r="81" spans="2:25" s="39" customFormat="1" ht="11.25">
      <c r="B81" s="40">
        <f t="shared" si="7"/>
        <v>44324</v>
      </c>
      <c r="Q81" s="88">
        <v>169161.24</v>
      </c>
      <c r="W81" s="79"/>
      <c r="Y81" s="41"/>
    </row>
    <row r="82" spans="2:25" s="39" customFormat="1" ht="11.25">
      <c r="B82" s="40">
        <f t="shared" si="7"/>
        <v>44325</v>
      </c>
      <c r="Q82" s="88">
        <v>154452.42</v>
      </c>
      <c r="W82" s="79"/>
      <c r="Y82" s="41"/>
    </row>
    <row r="83" spans="2:25" s="39" customFormat="1" ht="11.25">
      <c r="B83" s="40">
        <f t="shared" si="7"/>
        <v>44326</v>
      </c>
      <c r="Q83" s="88">
        <v>96424.74</v>
      </c>
      <c r="W83" s="79"/>
      <c r="Y83" s="41"/>
    </row>
    <row r="84" spans="2:25" s="39" customFormat="1" ht="11.25">
      <c r="B84" s="40">
        <f t="shared" si="7"/>
        <v>44327</v>
      </c>
      <c r="Q84" s="88">
        <v>93266.79</v>
      </c>
      <c r="W84" s="79"/>
      <c r="Y84" s="41"/>
    </row>
    <row r="85" spans="2:25" s="39" customFormat="1" ht="11.25">
      <c r="B85" s="40">
        <f t="shared" si="7"/>
        <v>44328</v>
      </c>
      <c r="Q85" s="88">
        <v>96804.85</v>
      </c>
      <c r="W85" s="79"/>
      <c r="Y85" s="41"/>
    </row>
    <row r="86" spans="2:25" s="39" customFormat="1" ht="11.25">
      <c r="B86" s="40">
        <f t="shared" si="7"/>
        <v>44329</v>
      </c>
      <c r="Q86" s="88">
        <v>100152.04</v>
      </c>
      <c r="W86" s="79"/>
      <c r="Y86" s="41"/>
    </row>
    <row r="87" spans="2:25" s="39" customFormat="1" ht="11.25">
      <c r="B87" s="40">
        <f t="shared" si="7"/>
        <v>44330</v>
      </c>
      <c r="Q87" s="88">
        <v>154549.61</v>
      </c>
      <c r="W87" s="79"/>
      <c r="Y87" s="41"/>
    </row>
    <row r="88" spans="2:25" s="39" customFormat="1" ht="11.25">
      <c r="B88" s="40">
        <f t="shared" si="7"/>
        <v>44331</v>
      </c>
      <c r="Q88" s="88">
        <v>189847.47</v>
      </c>
      <c r="W88" s="79"/>
      <c r="Y88" s="41"/>
    </row>
    <row r="89" spans="2:25" s="39" customFormat="1" ht="11.25">
      <c r="B89" s="40">
        <f t="shared" si="7"/>
        <v>44332</v>
      </c>
      <c r="Q89" s="88">
        <v>134418.54</v>
      </c>
      <c r="W89" s="79"/>
      <c r="Y89" s="41"/>
    </row>
    <row r="90" spans="2:25" s="39" customFormat="1" ht="11.25">
      <c r="B90" s="40">
        <f t="shared" si="7"/>
        <v>44333</v>
      </c>
      <c r="Q90" s="88">
        <v>92714.69</v>
      </c>
      <c r="W90" s="79"/>
      <c r="Y90" s="41"/>
    </row>
    <row r="91" spans="2:25" s="39" customFormat="1" ht="11.25">
      <c r="B91" s="40">
        <f t="shared" si="7"/>
        <v>44334</v>
      </c>
      <c r="Q91" s="88">
        <v>85931.58</v>
      </c>
      <c r="W91" s="79"/>
      <c r="Y91" s="41"/>
    </row>
    <row r="92" spans="2:25" s="39" customFormat="1" ht="11.25">
      <c r="B92" s="40">
        <f t="shared" si="7"/>
        <v>44335</v>
      </c>
      <c r="Q92" s="88">
        <v>95838.93</v>
      </c>
      <c r="W92" s="79"/>
      <c r="Y92" s="41"/>
    </row>
    <row r="93" spans="2:25" s="39" customFormat="1" ht="11.25">
      <c r="B93" s="40">
        <f t="shared" si="7"/>
        <v>44336</v>
      </c>
      <c r="Q93" s="88">
        <v>95857.62</v>
      </c>
      <c r="W93" s="79"/>
      <c r="Y93" s="41"/>
    </row>
    <row r="94" spans="2:25" s="39" customFormat="1" ht="11.25">
      <c r="B94" s="40">
        <f t="shared" si="7"/>
        <v>44337</v>
      </c>
      <c r="Q94" s="88">
        <v>150639.6</v>
      </c>
      <c r="W94" s="79"/>
      <c r="Y94" s="41"/>
    </row>
    <row r="95" spans="2:25" s="39" customFormat="1" ht="11.25">
      <c r="B95" s="40">
        <f t="shared" si="7"/>
        <v>44338</v>
      </c>
      <c r="Q95" s="88">
        <v>194016.78</v>
      </c>
      <c r="W95" s="79"/>
      <c r="Y95" s="41"/>
    </row>
    <row r="96" spans="2:25" s="39" customFormat="1" ht="11.25">
      <c r="B96" s="40">
        <f t="shared" si="7"/>
        <v>44339</v>
      </c>
      <c r="Q96" s="88">
        <v>154204.82</v>
      </c>
      <c r="W96" s="79"/>
      <c r="Y96" s="41"/>
    </row>
    <row r="97" spans="2:25" s="39" customFormat="1" ht="11.25">
      <c r="B97" s="40">
        <f t="shared" si="7"/>
        <v>44340</v>
      </c>
      <c r="Q97" s="88">
        <v>105612.83</v>
      </c>
      <c r="W97" s="79"/>
      <c r="Y97" s="41"/>
    </row>
    <row r="98" spans="2:25" s="39" customFormat="1" ht="11.25">
      <c r="B98" s="40">
        <f t="shared" si="7"/>
        <v>44341</v>
      </c>
      <c r="Q98" s="88">
        <v>63496.58</v>
      </c>
      <c r="W98" s="79"/>
      <c r="Y98" s="41"/>
    </row>
    <row r="99" spans="2:25" s="39" customFormat="1" ht="11.25">
      <c r="B99" s="40">
        <f t="shared" si="7"/>
        <v>44342</v>
      </c>
      <c r="Q99" s="88">
        <v>83051.68</v>
      </c>
      <c r="W99" s="79"/>
      <c r="Y99" s="41"/>
    </row>
    <row r="100" spans="2:25" s="39" customFormat="1" ht="11.25">
      <c r="B100" s="40">
        <f t="shared" si="7"/>
        <v>44343</v>
      </c>
      <c r="Q100" s="88">
        <v>34840.11</v>
      </c>
      <c r="W100" s="79"/>
      <c r="Y100" s="41"/>
    </row>
    <row r="101" spans="2:25" s="39" customFormat="1" ht="11.25">
      <c r="B101" s="40">
        <f t="shared" si="7"/>
        <v>44344</v>
      </c>
      <c r="Q101" s="88">
        <v>43.29</v>
      </c>
      <c r="W101" s="79"/>
      <c r="Y101" s="41"/>
    </row>
    <row r="102" spans="2:25" s="39" customFormat="1" ht="11.25">
      <c r="B102" s="40">
        <f t="shared" si="7"/>
        <v>44345</v>
      </c>
      <c r="Q102" s="88">
        <v>0</v>
      </c>
      <c r="W102" s="79"/>
      <c r="Y102" s="41"/>
    </row>
    <row r="103" spans="2:25" s="39" customFormat="1" ht="11.25">
      <c r="B103" s="40">
        <f t="shared" si="7"/>
        <v>44346</v>
      </c>
      <c r="Q103" s="88">
        <v>0</v>
      </c>
      <c r="W103" s="79"/>
      <c r="Y103" s="41"/>
    </row>
    <row r="104" spans="2:25" s="39" customFormat="1" ht="11.25">
      <c r="B104" s="40">
        <f t="shared" si="7"/>
        <v>44347</v>
      </c>
      <c r="Q104" s="88">
        <v>0</v>
      </c>
      <c r="W104" s="79"/>
      <c r="Y104" s="41"/>
    </row>
    <row r="105" spans="2:25" s="39" customFormat="1" ht="14.25">
      <c r="B105"/>
      <c r="Q105" s="42"/>
      <c r="W105" s="79"/>
      <c r="Y105" s="41"/>
    </row>
  </sheetData>
  <sheetProtection/>
  <mergeCells count="3">
    <mergeCell ref="C1:Z1"/>
    <mergeCell ref="C2:Z2"/>
    <mergeCell ref="C3:Z3"/>
  </mergeCells>
  <printOptions/>
  <pageMargins left="0.32" right="0.28" top="0.42" bottom="0.39" header="0.23" footer="0.21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D106"/>
  <sheetViews>
    <sheetView zoomScalePageLayoutView="0" workbookViewId="0" topLeftCell="A34">
      <selection activeCell="C40" sqref="C40"/>
    </sheetView>
  </sheetViews>
  <sheetFormatPr defaultColWidth="9.00390625" defaultRowHeight="14.25"/>
  <cols>
    <col min="1" max="1" width="0.5" style="0" customWidth="1"/>
    <col min="2" max="2" width="32.00390625" style="0" customWidth="1"/>
    <col min="3" max="3" width="13.50390625" style="0" customWidth="1"/>
    <col min="4" max="4" width="4.25390625" style="0" customWidth="1"/>
    <col min="5" max="5" width="13.50390625" style="0" bestFit="1" customWidth="1"/>
    <col min="6" max="6" width="0.875" style="0" hidden="1" customWidth="1"/>
    <col min="7" max="7" width="0.37109375" style="0" hidden="1" customWidth="1"/>
    <col min="8" max="8" width="3.875" style="0" customWidth="1"/>
    <col min="9" max="9" width="12.75390625" style="0" customWidth="1"/>
    <col min="10" max="10" width="0.875" style="0" hidden="1" customWidth="1"/>
    <col min="11" max="11" width="2.125" style="0" hidden="1" customWidth="1"/>
    <col min="12" max="12" width="0.875" style="0" hidden="1" customWidth="1"/>
    <col min="13" max="13" width="2.625" style="0" hidden="1" customWidth="1"/>
    <col min="14" max="14" width="0.875" style="0" hidden="1" customWidth="1"/>
    <col min="15" max="15" width="0.12890625" style="0" hidden="1" customWidth="1"/>
    <col min="16" max="16" width="4.125" style="0" customWidth="1"/>
    <col min="17" max="17" width="12.875" style="0" customWidth="1"/>
    <col min="18" max="18" width="4.125" style="0" customWidth="1"/>
    <col min="19" max="19" width="12.625" style="0" bestFit="1" customWidth="1"/>
    <col min="20" max="20" width="5.625" style="0" customWidth="1"/>
    <col min="21" max="21" width="14.125" style="6" customWidth="1"/>
    <col min="22" max="22" width="3.625" style="0" customWidth="1"/>
    <col min="23" max="23" width="10.125" style="7" hidden="1" customWidth="1"/>
    <col min="24" max="24" width="4.75390625" style="0" hidden="1" customWidth="1"/>
    <col min="25" max="25" width="13.25390625" style="0" customWidth="1"/>
    <col min="26" max="26" width="0.37109375" style="0" customWidth="1"/>
    <col min="27" max="27" width="2.00390625" style="0" customWidth="1"/>
    <col min="29" max="29" width="10.50390625" style="0" customWidth="1"/>
  </cols>
  <sheetData>
    <row r="1" spans="1:26" ht="18.75">
      <c r="A1" s="89"/>
      <c r="B1" s="90" t="s">
        <v>41</v>
      </c>
      <c r="C1" s="159" t="s">
        <v>1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90"/>
      <c r="Z1" s="2"/>
    </row>
    <row r="2" spans="1:26" ht="18.75">
      <c r="A2" s="89"/>
      <c r="B2" s="91"/>
      <c r="C2" s="159" t="s">
        <v>42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90"/>
      <c r="Z2" s="2"/>
    </row>
    <row r="3" spans="1:26" ht="18.75">
      <c r="A3" s="89"/>
      <c r="B3" s="91"/>
      <c r="C3" s="159" t="s">
        <v>66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90"/>
      <c r="Z3" s="2"/>
    </row>
    <row r="4" spans="1:25" ht="14.25">
      <c r="A4" s="92"/>
      <c r="B4" s="93" t="s">
        <v>3</v>
      </c>
      <c r="C4" s="93" t="s">
        <v>4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/>
      <c r="V4" s="93"/>
      <c r="W4" s="95"/>
      <c r="X4" s="93"/>
      <c r="Y4" s="93"/>
    </row>
    <row r="5" spans="1:25" ht="14.25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4"/>
      <c r="V5" s="93"/>
      <c r="W5" s="95"/>
      <c r="X5" s="93"/>
      <c r="Y5" s="96" t="s">
        <v>43</v>
      </c>
    </row>
    <row r="6" spans="1:28" s="13" customFormat="1" ht="63.75" customHeight="1">
      <c r="A6" s="97"/>
      <c r="B6" s="98" t="s">
        <v>6</v>
      </c>
      <c r="C6" s="99" t="s">
        <v>7</v>
      </c>
      <c r="D6" s="100" t="s">
        <v>8</v>
      </c>
      <c r="E6" s="99" t="s">
        <v>9</v>
      </c>
      <c r="F6" s="100" t="s">
        <v>8</v>
      </c>
      <c r="G6" s="99" t="s">
        <v>10</v>
      </c>
      <c r="H6" s="100" t="s">
        <v>8</v>
      </c>
      <c r="I6" s="99" t="s">
        <v>44</v>
      </c>
      <c r="J6" s="100" t="s">
        <v>8</v>
      </c>
      <c r="K6" s="99" t="s">
        <v>12</v>
      </c>
      <c r="L6" s="100" t="s">
        <v>8</v>
      </c>
      <c r="M6" s="99" t="s">
        <v>13</v>
      </c>
      <c r="N6" s="100" t="s">
        <v>8</v>
      </c>
      <c r="O6" s="99" t="s">
        <v>14</v>
      </c>
      <c r="P6" s="100" t="s">
        <v>8</v>
      </c>
      <c r="Q6" s="99" t="s">
        <v>45</v>
      </c>
      <c r="R6" s="100" t="s">
        <v>8</v>
      </c>
      <c r="S6" s="99" t="s">
        <v>17</v>
      </c>
      <c r="T6" s="100" t="s">
        <v>18</v>
      </c>
      <c r="U6" s="101" t="s">
        <v>19</v>
      </c>
      <c r="V6" s="100"/>
      <c r="W6" s="102" t="s">
        <v>21</v>
      </c>
      <c r="X6" s="100" t="s">
        <v>18</v>
      </c>
      <c r="Y6" s="99" t="s">
        <v>46</v>
      </c>
      <c r="AB6" s="13" t="s">
        <v>47</v>
      </c>
    </row>
    <row r="7" spans="1:25" ht="14.25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V7" s="93"/>
      <c r="W7" s="95"/>
      <c r="X7" s="93"/>
      <c r="Y7" s="93"/>
    </row>
    <row r="8" spans="1:25" ht="14.25">
      <c r="A8" s="92"/>
      <c r="B8" s="103" t="s">
        <v>30</v>
      </c>
      <c r="C8" s="104"/>
      <c r="D8" s="93"/>
      <c r="E8" s="104"/>
      <c r="F8" s="93"/>
      <c r="G8" s="93"/>
      <c r="H8" s="93"/>
      <c r="I8" s="104"/>
      <c r="J8" s="93"/>
      <c r="K8" s="93"/>
      <c r="L8" s="93"/>
      <c r="M8" s="93"/>
      <c r="N8" s="93"/>
      <c r="O8" s="93"/>
      <c r="P8" s="93"/>
      <c r="Q8" s="93"/>
      <c r="R8" s="93"/>
      <c r="S8" s="104"/>
      <c r="T8" s="93"/>
      <c r="U8" s="104"/>
      <c r="V8" s="104"/>
      <c r="W8" s="95"/>
      <c r="X8" s="104"/>
      <c r="Y8" s="104"/>
    </row>
    <row r="9" spans="1:25" ht="5.2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105"/>
      <c r="V9" s="92"/>
      <c r="W9" s="106"/>
      <c r="X9" s="92"/>
      <c r="Y9" s="92"/>
    </row>
    <row r="10" spans="1:28" s="39" customFormat="1" ht="14.25">
      <c r="A10" s="107"/>
      <c r="B10" s="108">
        <v>44317</v>
      </c>
      <c r="C10" s="156">
        <v>525314.75</v>
      </c>
      <c r="D10" s="156"/>
      <c r="E10" s="156">
        <v>459322</v>
      </c>
      <c r="F10" s="156"/>
      <c r="G10" s="156"/>
      <c r="H10" s="156"/>
      <c r="I10" s="156">
        <v>18400</v>
      </c>
      <c r="J10" s="156"/>
      <c r="K10" s="156"/>
      <c r="L10" s="156"/>
      <c r="M10" s="156"/>
      <c r="N10" s="156"/>
      <c r="O10" s="156"/>
      <c r="P10" s="156"/>
      <c r="Q10" s="156">
        <v>5902.8</v>
      </c>
      <c r="R10" s="156"/>
      <c r="S10" s="156">
        <v>15337.99</v>
      </c>
      <c r="T10" s="156"/>
      <c r="U10" s="156">
        <v>26351.96</v>
      </c>
      <c r="V10" s="109"/>
      <c r="W10" s="111"/>
      <c r="X10" s="109"/>
      <c r="Y10" s="112">
        <f aca="true" t="shared" si="0" ref="Y10:Y15">C10-E10-I10-Q10-S10</f>
        <v>26351.96</v>
      </c>
      <c r="AB10" s="52">
        <f aca="true" t="shared" si="1" ref="AB10:AB15">U10-Y10</f>
        <v>0</v>
      </c>
    </row>
    <row r="11" spans="1:28" s="39" customFormat="1" ht="14.25">
      <c r="A11" s="107"/>
      <c r="B11" s="108">
        <v>44318</v>
      </c>
      <c r="C11" s="156">
        <v>387891.11</v>
      </c>
      <c r="D11" s="156"/>
      <c r="E11" s="156">
        <v>320979.18</v>
      </c>
      <c r="F11" s="156"/>
      <c r="G11" s="156"/>
      <c r="H11" s="156"/>
      <c r="I11" s="156">
        <v>17040</v>
      </c>
      <c r="J11" s="156"/>
      <c r="K11" s="156"/>
      <c r="L11" s="156"/>
      <c r="M11" s="156"/>
      <c r="N11" s="156"/>
      <c r="O11" s="156"/>
      <c r="P11" s="156"/>
      <c r="Q11" s="156">
        <v>4361.91</v>
      </c>
      <c r="R11" s="156"/>
      <c r="S11" s="156">
        <v>7103.95</v>
      </c>
      <c r="T11" s="156"/>
      <c r="U11" s="156">
        <v>38406.07</v>
      </c>
      <c r="V11" s="109"/>
      <c r="W11" s="111"/>
      <c r="X11" s="109"/>
      <c r="Y11" s="112">
        <f t="shared" si="0"/>
        <v>38406.06999999999</v>
      </c>
      <c r="AB11" s="52">
        <f t="shared" si="1"/>
        <v>0</v>
      </c>
    </row>
    <row r="12" spans="1:28" s="39" customFormat="1" ht="14.25">
      <c r="A12" s="107"/>
      <c r="B12" s="108">
        <v>44319</v>
      </c>
      <c r="C12" s="156">
        <v>161383.59</v>
      </c>
      <c r="D12" s="156"/>
      <c r="E12" s="156">
        <v>119765.85</v>
      </c>
      <c r="F12" s="156"/>
      <c r="G12" s="156"/>
      <c r="H12" s="156"/>
      <c r="I12" s="156">
        <v>11300</v>
      </c>
      <c r="J12" s="156"/>
      <c r="K12" s="156"/>
      <c r="L12" s="156"/>
      <c r="M12" s="156"/>
      <c r="N12" s="156"/>
      <c r="O12" s="156"/>
      <c r="P12" s="156"/>
      <c r="Q12" s="156">
        <v>1930.47</v>
      </c>
      <c r="R12" s="156"/>
      <c r="S12" s="156">
        <v>2987.25</v>
      </c>
      <c r="T12" s="156"/>
      <c r="U12" s="156">
        <v>25400.02</v>
      </c>
      <c r="V12" s="109"/>
      <c r="W12" s="109"/>
      <c r="X12" s="109"/>
      <c r="Y12" s="112">
        <f t="shared" si="0"/>
        <v>25400.01999999999</v>
      </c>
      <c r="AB12" s="52">
        <f t="shared" si="1"/>
        <v>0</v>
      </c>
    </row>
    <row r="13" spans="1:28" s="39" customFormat="1" ht="14.25">
      <c r="A13" s="107"/>
      <c r="B13" s="108">
        <v>44320</v>
      </c>
      <c r="C13" s="156">
        <v>242093.75</v>
      </c>
      <c r="D13" s="156"/>
      <c r="E13" s="156">
        <v>200404.39</v>
      </c>
      <c r="F13" s="156"/>
      <c r="G13" s="156"/>
      <c r="H13" s="156"/>
      <c r="I13" s="156">
        <v>2850</v>
      </c>
      <c r="J13" s="156"/>
      <c r="K13" s="156"/>
      <c r="L13" s="156"/>
      <c r="M13" s="156"/>
      <c r="N13" s="156"/>
      <c r="O13" s="156"/>
      <c r="P13" s="156"/>
      <c r="Q13" s="156">
        <v>2673.16</v>
      </c>
      <c r="R13" s="156"/>
      <c r="S13" s="156">
        <v>4108.99</v>
      </c>
      <c r="T13" s="156"/>
      <c r="U13" s="156">
        <v>32057.21</v>
      </c>
      <c r="V13" s="109"/>
      <c r="W13" s="111"/>
      <c r="X13" s="109"/>
      <c r="Y13" s="112">
        <f t="shared" si="0"/>
        <v>32057.209999999985</v>
      </c>
      <c r="AB13" s="52">
        <f t="shared" si="1"/>
        <v>0</v>
      </c>
    </row>
    <row r="14" spans="1:28" s="39" customFormat="1" ht="14.25">
      <c r="A14" s="107"/>
      <c r="B14" s="108">
        <v>44321</v>
      </c>
      <c r="C14" s="156">
        <v>744432.05</v>
      </c>
      <c r="D14" s="156"/>
      <c r="E14" s="156">
        <v>674159.27</v>
      </c>
      <c r="F14" s="156"/>
      <c r="G14" s="156"/>
      <c r="H14" s="156"/>
      <c r="I14" s="156">
        <v>25700</v>
      </c>
      <c r="J14" s="156"/>
      <c r="K14" s="156"/>
      <c r="L14" s="156"/>
      <c r="M14" s="156"/>
      <c r="N14" s="156"/>
      <c r="O14" s="156"/>
      <c r="P14" s="156"/>
      <c r="Q14" s="156">
        <v>10840.18</v>
      </c>
      <c r="R14" s="156"/>
      <c r="S14" s="156">
        <v>16501.5</v>
      </c>
      <c r="T14" s="156"/>
      <c r="U14" s="156">
        <v>17231.1</v>
      </c>
      <c r="V14" s="109"/>
      <c r="W14" s="111"/>
      <c r="X14" s="109"/>
      <c r="Y14" s="112">
        <f t="shared" si="0"/>
        <v>17231.100000000028</v>
      </c>
      <c r="AB14" s="52">
        <f t="shared" si="1"/>
        <v>-2.9103830456733704E-11</v>
      </c>
    </row>
    <row r="15" spans="1:28" s="39" customFormat="1" ht="14.25">
      <c r="A15" s="107"/>
      <c r="B15" s="108">
        <v>44322</v>
      </c>
      <c r="C15" s="156">
        <v>167606.63</v>
      </c>
      <c r="D15" s="156"/>
      <c r="E15" s="156">
        <v>125355.69</v>
      </c>
      <c r="F15" s="156"/>
      <c r="G15" s="156"/>
      <c r="H15" s="156"/>
      <c r="I15" s="156">
        <v>0</v>
      </c>
      <c r="J15" s="156"/>
      <c r="K15" s="156"/>
      <c r="L15" s="156"/>
      <c r="M15" s="156"/>
      <c r="N15" s="156"/>
      <c r="O15" s="156"/>
      <c r="P15" s="156"/>
      <c r="Q15" s="156">
        <v>2192.96</v>
      </c>
      <c r="R15" s="156"/>
      <c r="S15" s="156">
        <v>4947.96</v>
      </c>
      <c r="T15" s="156"/>
      <c r="U15" s="156">
        <v>35110.02</v>
      </c>
      <c r="V15" s="109"/>
      <c r="W15" s="111"/>
      <c r="X15" s="109"/>
      <c r="Y15" s="112">
        <f t="shared" si="0"/>
        <v>35110.020000000004</v>
      </c>
      <c r="AB15" s="52">
        <f t="shared" si="1"/>
        <v>0</v>
      </c>
    </row>
    <row r="16" spans="1:28" s="39" customFormat="1" ht="14.25">
      <c r="A16" s="107"/>
      <c r="B16" s="108">
        <v>44323</v>
      </c>
      <c r="C16" s="156">
        <v>416096.57</v>
      </c>
      <c r="D16" s="156"/>
      <c r="E16" s="156">
        <v>346678.59</v>
      </c>
      <c r="F16" s="156"/>
      <c r="G16" s="156"/>
      <c r="H16" s="156"/>
      <c r="I16" s="156">
        <v>5700</v>
      </c>
      <c r="J16" s="156"/>
      <c r="K16" s="156"/>
      <c r="L16" s="156"/>
      <c r="M16" s="156"/>
      <c r="N16" s="156"/>
      <c r="O16" s="156"/>
      <c r="P16" s="156"/>
      <c r="Q16" s="156">
        <v>4493.52</v>
      </c>
      <c r="R16" s="156"/>
      <c r="S16" s="156">
        <v>11028.8</v>
      </c>
      <c r="T16" s="156"/>
      <c r="U16" s="156">
        <v>48195.66</v>
      </c>
      <c r="V16" s="109"/>
      <c r="W16" s="111"/>
      <c r="X16" s="109"/>
      <c r="Y16" s="112">
        <f>C16-E16-I16-Q16-S16</f>
        <v>48195.659999999974</v>
      </c>
      <c r="AB16" s="52">
        <f>U16-Y16</f>
        <v>0</v>
      </c>
    </row>
    <row r="17" spans="1:28" s="39" customFormat="1" ht="14.25">
      <c r="A17" s="107"/>
      <c r="B17" s="108">
        <v>44324</v>
      </c>
      <c r="C17" s="156">
        <v>149320.21</v>
      </c>
      <c r="D17" s="156"/>
      <c r="E17" s="156">
        <v>114068.98</v>
      </c>
      <c r="F17" s="156"/>
      <c r="G17" s="156"/>
      <c r="H17" s="156"/>
      <c r="I17" s="156">
        <v>800</v>
      </c>
      <c r="J17" s="156"/>
      <c r="K17" s="156"/>
      <c r="L17" s="156"/>
      <c r="M17" s="156"/>
      <c r="N17" s="156"/>
      <c r="O17" s="156"/>
      <c r="P17" s="156"/>
      <c r="Q17" s="156">
        <v>1770.83</v>
      </c>
      <c r="R17" s="156"/>
      <c r="S17" s="156">
        <v>3183</v>
      </c>
      <c r="T17" s="156"/>
      <c r="U17" s="156">
        <v>29497.4</v>
      </c>
      <c r="V17" s="109"/>
      <c r="W17" s="111"/>
      <c r="X17" s="109"/>
      <c r="Y17" s="112">
        <f aca="true" t="shared" si="2" ref="Y17:Y40">C17-E17-I17-Q17-S17</f>
        <v>29497.399999999994</v>
      </c>
      <c r="AB17" s="52">
        <f aca="true" t="shared" si="3" ref="AB17:AB39">U17-Y17</f>
        <v>0</v>
      </c>
    </row>
    <row r="18" spans="1:28" s="39" customFormat="1" ht="14.25">
      <c r="A18" s="107"/>
      <c r="B18" s="108">
        <v>44325</v>
      </c>
      <c r="C18" s="156">
        <v>88893.7</v>
      </c>
      <c r="D18" s="156"/>
      <c r="E18" s="156">
        <v>73539.6</v>
      </c>
      <c r="F18" s="156"/>
      <c r="G18" s="156"/>
      <c r="H18" s="156"/>
      <c r="I18" s="156">
        <v>500</v>
      </c>
      <c r="J18" s="156"/>
      <c r="K18" s="156"/>
      <c r="L18" s="156"/>
      <c r="M18" s="156"/>
      <c r="N18" s="156"/>
      <c r="O18" s="156"/>
      <c r="P18" s="156"/>
      <c r="Q18" s="156">
        <v>952.63</v>
      </c>
      <c r="R18" s="156"/>
      <c r="S18" s="156">
        <v>1538</v>
      </c>
      <c r="T18" s="156"/>
      <c r="U18" s="156">
        <v>12363.47</v>
      </c>
      <c r="V18" s="109"/>
      <c r="W18" s="111"/>
      <c r="X18" s="109"/>
      <c r="Y18" s="112">
        <f t="shared" si="2"/>
        <v>12363.469999999992</v>
      </c>
      <c r="AB18" s="52">
        <f t="shared" si="3"/>
        <v>0</v>
      </c>
    </row>
    <row r="19" spans="1:28" s="39" customFormat="1" ht="14.25">
      <c r="A19" s="107"/>
      <c r="B19" s="108">
        <v>44326</v>
      </c>
      <c r="C19" s="156">
        <v>31689.2</v>
      </c>
      <c r="D19" s="156"/>
      <c r="E19" s="156">
        <v>24005.45</v>
      </c>
      <c r="F19" s="156"/>
      <c r="G19" s="156"/>
      <c r="H19" s="156"/>
      <c r="I19" s="156">
        <v>0</v>
      </c>
      <c r="J19" s="156"/>
      <c r="K19" s="156"/>
      <c r="L19" s="156"/>
      <c r="M19" s="156"/>
      <c r="N19" s="156"/>
      <c r="O19" s="156"/>
      <c r="P19" s="156"/>
      <c r="Q19" s="156">
        <v>57.04</v>
      </c>
      <c r="R19" s="156"/>
      <c r="S19" s="156">
        <v>1479</v>
      </c>
      <c r="T19" s="156"/>
      <c r="U19" s="156">
        <v>6147.71</v>
      </c>
      <c r="V19" s="109"/>
      <c r="W19" s="111"/>
      <c r="X19" s="109"/>
      <c r="Y19" s="112">
        <f t="shared" si="2"/>
        <v>6147.71</v>
      </c>
      <c r="AB19" s="52">
        <f t="shared" si="3"/>
        <v>0</v>
      </c>
    </row>
    <row r="20" spans="1:28" s="39" customFormat="1" ht="14.25">
      <c r="A20" s="107"/>
      <c r="B20" s="108">
        <v>44327</v>
      </c>
      <c r="C20" s="156">
        <v>47525.8</v>
      </c>
      <c r="D20" s="156"/>
      <c r="E20" s="156">
        <v>38165.35</v>
      </c>
      <c r="F20" s="156"/>
      <c r="G20" s="156"/>
      <c r="H20" s="156"/>
      <c r="I20" s="156">
        <v>0</v>
      </c>
      <c r="J20" s="156"/>
      <c r="K20" s="156"/>
      <c r="L20" s="156"/>
      <c r="M20" s="156"/>
      <c r="N20" s="156"/>
      <c r="O20" s="156"/>
      <c r="P20" s="156"/>
      <c r="Q20" s="156">
        <v>151.06</v>
      </c>
      <c r="R20" s="156"/>
      <c r="S20" s="156">
        <v>1094</v>
      </c>
      <c r="T20" s="156"/>
      <c r="U20" s="156">
        <v>8115.39</v>
      </c>
      <c r="V20" s="109"/>
      <c r="W20" s="111"/>
      <c r="X20" s="109"/>
      <c r="Y20" s="112">
        <f t="shared" si="2"/>
        <v>8115.390000000005</v>
      </c>
      <c r="AB20" s="52">
        <f t="shared" si="3"/>
        <v>0</v>
      </c>
    </row>
    <row r="21" spans="1:28" s="39" customFormat="1" ht="14.25">
      <c r="A21" s="107"/>
      <c r="B21" s="108">
        <v>44328</v>
      </c>
      <c r="C21" s="156">
        <v>491583.9</v>
      </c>
      <c r="D21" s="156"/>
      <c r="E21" s="156">
        <v>468093.7</v>
      </c>
      <c r="F21" s="156"/>
      <c r="G21" s="156"/>
      <c r="H21" s="156"/>
      <c r="I21" s="156">
        <v>1000</v>
      </c>
      <c r="J21" s="156"/>
      <c r="K21" s="156"/>
      <c r="L21" s="156"/>
      <c r="M21" s="156"/>
      <c r="N21" s="156"/>
      <c r="O21" s="156"/>
      <c r="P21" s="156"/>
      <c r="Q21" s="156">
        <v>1568.15</v>
      </c>
      <c r="R21" s="156"/>
      <c r="S21" s="156">
        <v>10760.1</v>
      </c>
      <c r="T21" s="156"/>
      <c r="U21" s="156">
        <v>10161.95</v>
      </c>
      <c r="V21" s="109"/>
      <c r="W21" s="111"/>
      <c r="X21" s="109"/>
      <c r="Y21" s="112">
        <f t="shared" si="2"/>
        <v>10161.95000000001</v>
      </c>
      <c r="AB21" s="52">
        <f t="shared" si="3"/>
        <v>0</v>
      </c>
    </row>
    <row r="22" spans="1:28" s="39" customFormat="1" ht="14.25">
      <c r="A22" s="107"/>
      <c r="B22" s="108">
        <v>44329</v>
      </c>
      <c r="C22" s="156">
        <v>855321.25</v>
      </c>
      <c r="D22" s="156"/>
      <c r="E22" s="156">
        <v>791935.3</v>
      </c>
      <c r="F22" s="156"/>
      <c r="G22" s="156"/>
      <c r="H22" s="156"/>
      <c r="I22" s="156">
        <v>11950</v>
      </c>
      <c r="J22" s="156"/>
      <c r="K22" s="156"/>
      <c r="L22" s="156"/>
      <c r="M22" s="156"/>
      <c r="N22" s="156"/>
      <c r="O22" s="156"/>
      <c r="P22" s="156"/>
      <c r="Q22" s="156">
        <v>3816.66</v>
      </c>
      <c r="R22" s="156"/>
      <c r="S22" s="156">
        <v>32331.01</v>
      </c>
      <c r="T22" s="156"/>
      <c r="U22" s="156">
        <v>15288.28</v>
      </c>
      <c r="V22" s="109"/>
      <c r="W22" s="111"/>
      <c r="X22" s="109"/>
      <c r="Y22" s="112">
        <f t="shared" si="2"/>
        <v>15288.279999999952</v>
      </c>
      <c r="AB22" s="52">
        <f t="shared" si="3"/>
        <v>4.9112713895738125E-11</v>
      </c>
    </row>
    <row r="23" spans="1:28" s="39" customFormat="1" ht="14.25">
      <c r="A23" s="107"/>
      <c r="B23" s="108">
        <v>44330</v>
      </c>
      <c r="C23" s="156">
        <v>343634.43</v>
      </c>
      <c r="D23" s="156"/>
      <c r="E23" s="156">
        <v>284390.61</v>
      </c>
      <c r="F23" s="156"/>
      <c r="G23" s="156"/>
      <c r="H23" s="156"/>
      <c r="I23" s="156">
        <v>15805</v>
      </c>
      <c r="J23" s="156"/>
      <c r="K23" s="156"/>
      <c r="L23" s="156"/>
      <c r="M23" s="156"/>
      <c r="N23" s="156"/>
      <c r="O23" s="156"/>
      <c r="P23" s="156"/>
      <c r="Q23" s="156">
        <v>3979.68</v>
      </c>
      <c r="R23" s="156"/>
      <c r="S23" s="156">
        <v>6654</v>
      </c>
      <c r="T23" s="156"/>
      <c r="U23" s="156">
        <v>32805.14</v>
      </c>
      <c r="V23" s="109"/>
      <c r="W23" s="111"/>
      <c r="X23" s="109"/>
      <c r="Y23" s="112">
        <f t="shared" si="2"/>
        <v>32805.14000000001</v>
      </c>
      <c r="AB23" s="52">
        <f t="shared" si="3"/>
        <v>0</v>
      </c>
    </row>
    <row r="24" spans="1:28" s="39" customFormat="1" ht="14.25">
      <c r="A24" s="107"/>
      <c r="B24" s="108">
        <v>44331</v>
      </c>
      <c r="C24" s="156">
        <v>441936.3</v>
      </c>
      <c r="D24" s="156"/>
      <c r="E24" s="156">
        <v>383906.83</v>
      </c>
      <c r="F24" s="156"/>
      <c r="G24" s="156"/>
      <c r="H24" s="156"/>
      <c r="I24" s="156">
        <v>18060</v>
      </c>
      <c r="J24" s="156"/>
      <c r="K24" s="156"/>
      <c r="L24" s="156"/>
      <c r="M24" s="156"/>
      <c r="N24" s="156"/>
      <c r="O24" s="156"/>
      <c r="P24" s="156"/>
      <c r="Q24" s="156">
        <v>4961.14</v>
      </c>
      <c r="R24" s="156"/>
      <c r="S24" s="156">
        <v>8330.95</v>
      </c>
      <c r="T24" s="156"/>
      <c r="U24" s="156">
        <v>26677.38</v>
      </c>
      <c r="V24" s="109"/>
      <c r="W24" s="111"/>
      <c r="X24" s="109"/>
      <c r="Y24" s="112">
        <f t="shared" si="2"/>
        <v>26677.379999999972</v>
      </c>
      <c r="AB24" s="52">
        <f t="shared" si="3"/>
        <v>2.9103830456733704E-11</v>
      </c>
    </row>
    <row r="25" spans="1:28" s="39" customFormat="1" ht="14.25">
      <c r="A25" s="107"/>
      <c r="B25" s="108">
        <v>44332</v>
      </c>
      <c r="C25" s="157">
        <v>272018.46</v>
      </c>
      <c r="D25" s="157"/>
      <c r="E25" s="157">
        <v>241623.58</v>
      </c>
      <c r="F25" s="157"/>
      <c r="G25" s="157"/>
      <c r="H25" s="157"/>
      <c r="I25" s="157">
        <v>4300</v>
      </c>
      <c r="J25" s="157"/>
      <c r="K25" s="157"/>
      <c r="L25" s="157"/>
      <c r="M25" s="157"/>
      <c r="N25" s="157"/>
      <c r="O25" s="157"/>
      <c r="P25" s="157"/>
      <c r="Q25" s="157">
        <v>2584.04</v>
      </c>
      <c r="R25" s="157"/>
      <c r="S25" s="157">
        <v>4020</v>
      </c>
      <c r="T25" s="157"/>
      <c r="U25" s="157">
        <v>19490.84</v>
      </c>
      <c r="V25" s="109"/>
      <c r="W25" s="111"/>
      <c r="X25" s="109"/>
      <c r="Y25" s="112">
        <f t="shared" si="2"/>
        <v>19490.840000000033</v>
      </c>
      <c r="AB25" s="52">
        <f t="shared" si="3"/>
        <v>-3.2741809263825417E-11</v>
      </c>
    </row>
    <row r="26" spans="1:28" s="39" customFormat="1" ht="14.25">
      <c r="A26" s="107"/>
      <c r="B26" s="108">
        <v>44333</v>
      </c>
      <c r="C26" s="156">
        <v>53611.87</v>
      </c>
      <c r="D26" s="156"/>
      <c r="E26" s="156">
        <v>42698.27</v>
      </c>
      <c r="F26" s="156"/>
      <c r="G26" s="156"/>
      <c r="H26" s="156"/>
      <c r="I26" s="156">
        <v>1460</v>
      </c>
      <c r="J26" s="156"/>
      <c r="K26" s="156"/>
      <c r="L26" s="156"/>
      <c r="M26" s="156"/>
      <c r="N26" s="156"/>
      <c r="O26" s="156"/>
      <c r="P26" s="156"/>
      <c r="Q26" s="156">
        <v>863.33</v>
      </c>
      <c r="R26" s="156"/>
      <c r="S26" s="156">
        <v>1322.25</v>
      </c>
      <c r="T26" s="156"/>
      <c r="U26" s="156">
        <v>7268.02</v>
      </c>
      <c r="V26" s="109"/>
      <c r="W26" s="111"/>
      <c r="X26" s="109"/>
      <c r="Y26" s="112">
        <f t="shared" si="2"/>
        <v>7268.020000000006</v>
      </c>
      <c r="AB26" s="52">
        <f t="shared" si="3"/>
        <v>0</v>
      </c>
    </row>
    <row r="27" spans="1:28" s="39" customFormat="1" ht="14.25">
      <c r="A27" s="107"/>
      <c r="B27" s="108">
        <v>44334</v>
      </c>
      <c r="C27" s="156">
        <v>61858.81</v>
      </c>
      <c r="D27" s="156"/>
      <c r="E27" s="156">
        <v>46424.66</v>
      </c>
      <c r="F27" s="156"/>
      <c r="G27" s="156"/>
      <c r="H27" s="156"/>
      <c r="I27" s="156">
        <v>1500</v>
      </c>
      <c r="J27" s="156"/>
      <c r="K27" s="156"/>
      <c r="L27" s="156"/>
      <c r="M27" s="156"/>
      <c r="N27" s="156"/>
      <c r="O27" s="156"/>
      <c r="P27" s="156"/>
      <c r="Q27" s="156">
        <v>1005.61</v>
      </c>
      <c r="R27" s="156"/>
      <c r="S27" s="156">
        <v>2249.8</v>
      </c>
      <c r="T27" s="156"/>
      <c r="U27" s="156">
        <v>10678.74</v>
      </c>
      <c r="V27" s="109"/>
      <c r="W27" s="111"/>
      <c r="X27" s="109"/>
      <c r="Y27" s="112">
        <f t="shared" si="2"/>
        <v>10678.739999999994</v>
      </c>
      <c r="AB27" s="52">
        <f t="shared" si="3"/>
        <v>0</v>
      </c>
    </row>
    <row r="28" spans="1:30" s="39" customFormat="1" ht="14.25">
      <c r="A28" s="107"/>
      <c r="B28" s="108">
        <v>44335</v>
      </c>
      <c r="C28" s="156">
        <v>159219.17</v>
      </c>
      <c r="D28" s="156"/>
      <c r="E28" s="156">
        <v>112882.84</v>
      </c>
      <c r="F28" s="156"/>
      <c r="G28" s="156"/>
      <c r="H28" s="156"/>
      <c r="I28" s="156">
        <v>18900</v>
      </c>
      <c r="J28" s="156"/>
      <c r="K28" s="156"/>
      <c r="L28" s="156"/>
      <c r="M28" s="156"/>
      <c r="N28" s="156"/>
      <c r="O28" s="156"/>
      <c r="P28" s="156"/>
      <c r="Q28" s="156">
        <v>3170.58</v>
      </c>
      <c r="R28" s="156"/>
      <c r="S28" s="156">
        <v>7401</v>
      </c>
      <c r="T28" s="156"/>
      <c r="U28" s="156">
        <v>16864.75</v>
      </c>
      <c r="V28" s="109"/>
      <c r="W28" s="111"/>
      <c r="X28" s="109"/>
      <c r="Y28" s="112">
        <f t="shared" si="2"/>
        <v>16864.750000000015</v>
      </c>
      <c r="AB28" s="52">
        <f t="shared" si="3"/>
        <v>0</v>
      </c>
      <c r="AC28" s="41"/>
      <c r="AD28" s="52"/>
    </row>
    <row r="29" spans="1:30" s="39" customFormat="1" ht="14.25">
      <c r="A29" s="107"/>
      <c r="B29" s="108">
        <v>44336</v>
      </c>
      <c r="C29" s="156">
        <v>295445.85</v>
      </c>
      <c r="D29"/>
      <c r="E29" s="156">
        <v>230281.75</v>
      </c>
      <c r="F29" s="156"/>
      <c r="G29" s="156"/>
      <c r="H29" s="156"/>
      <c r="I29" s="156">
        <v>5200</v>
      </c>
      <c r="J29" s="156"/>
      <c r="K29" s="156"/>
      <c r="L29" s="156"/>
      <c r="M29" s="156"/>
      <c r="N29" s="156"/>
      <c r="O29" s="156"/>
      <c r="P29" s="156"/>
      <c r="Q29" s="156">
        <v>6731.01</v>
      </c>
      <c r="R29" s="156"/>
      <c r="S29" s="156">
        <v>7358.2</v>
      </c>
      <c r="T29" s="156"/>
      <c r="U29" s="156">
        <v>45874.89</v>
      </c>
      <c r="V29" s="109"/>
      <c r="W29" s="111"/>
      <c r="X29" s="109"/>
      <c r="Y29" s="112">
        <f t="shared" si="2"/>
        <v>45874.88999999998</v>
      </c>
      <c r="AB29" s="52">
        <f t="shared" si="3"/>
        <v>0</v>
      </c>
      <c r="AC29" s="41"/>
      <c r="AD29" s="52"/>
    </row>
    <row r="30" spans="1:30" s="39" customFormat="1" ht="14.25">
      <c r="A30" s="107"/>
      <c r="B30" s="108">
        <v>44337</v>
      </c>
      <c r="C30" s="156">
        <v>977014.48</v>
      </c>
      <c r="D30" s="156"/>
      <c r="E30" s="156">
        <v>797000.45</v>
      </c>
      <c r="F30" s="156"/>
      <c r="G30" s="156"/>
      <c r="H30" s="156"/>
      <c r="I30" s="156">
        <v>28600</v>
      </c>
      <c r="J30" s="156"/>
      <c r="K30" s="156"/>
      <c r="L30" s="156"/>
      <c r="M30" s="156"/>
      <c r="N30" s="156"/>
      <c r="O30" s="156"/>
      <c r="P30" s="156"/>
      <c r="Q30" s="156">
        <v>9764.7</v>
      </c>
      <c r="R30" s="156"/>
      <c r="S30" s="156">
        <v>32534.95</v>
      </c>
      <c r="T30" s="156"/>
      <c r="U30" s="156">
        <v>109114.38</v>
      </c>
      <c r="V30" s="109"/>
      <c r="W30" s="111"/>
      <c r="X30" s="109"/>
      <c r="Y30" s="112">
        <f t="shared" si="2"/>
        <v>109114.38000000002</v>
      </c>
      <c r="AB30" s="52">
        <f t="shared" si="3"/>
        <v>0</v>
      </c>
      <c r="AC30" s="41"/>
      <c r="AD30" s="52"/>
    </row>
    <row r="31" spans="1:30" s="39" customFormat="1" ht="14.25">
      <c r="A31" s="107"/>
      <c r="B31" s="108">
        <v>44338</v>
      </c>
      <c r="C31" s="156">
        <v>975186.89</v>
      </c>
      <c r="D31" s="156"/>
      <c r="E31" s="156">
        <v>836192.18</v>
      </c>
      <c r="F31" s="156"/>
      <c r="G31" s="156"/>
      <c r="H31" s="156"/>
      <c r="I31" s="156">
        <v>23510</v>
      </c>
      <c r="J31" s="156"/>
      <c r="K31" s="156"/>
      <c r="L31" s="156"/>
      <c r="M31" s="156"/>
      <c r="N31" s="156"/>
      <c r="O31" s="156"/>
      <c r="P31" s="156"/>
      <c r="Q31" s="156">
        <v>9683.1</v>
      </c>
      <c r="R31" s="156"/>
      <c r="S31" s="156">
        <v>24333.4</v>
      </c>
      <c r="T31" s="156"/>
      <c r="U31" s="156">
        <v>81468.21</v>
      </c>
      <c r="V31" s="109"/>
      <c r="W31" s="111"/>
      <c r="X31" s="109"/>
      <c r="Y31" s="112">
        <f t="shared" si="2"/>
        <v>81468.20999999996</v>
      </c>
      <c r="AB31" s="52">
        <f t="shared" si="3"/>
        <v>0</v>
      </c>
      <c r="AC31" s="41"/>
      <c r="AD31" s="52"/>
    </row>
    <row r="32" spans="1:30" s="39" customFormat="1" ht="14.25">
      <c r="A32" s="107">
        <v>0</v>
      </c>
      <c r="B32" s="108">
        <v>44339</v>
      </c>
      <c r="C32" s="156">
        <v>511495.99</v>
      </c>
      <c r="D32" s="156"/>
      <c r="E32" s="156">
        <v>411581.24</v>
      </c>
      <c r="F32" s="156"/>
      <c r="G32" s="156"/>
      <c r="H32" s="156"/>
      <c r="I32" s="156">
        <v>8000</v>
      </c>
      <c r="J32" s="156"/>
      <c r="K32" s="156"/>
      <c r="L32" s="156"/>
      <c r="M32" s="156"/>
      <c r="N32" s="156"/>
      <c r="O32" s="156"/>
      <c r="P32" s="156"/>
      <c r="Q32" s="156">
        <v>6439.07</v>
      </c>
      <c r="R32" s="156"/>
      <c r="S32" s="156">
        <v>20710.93</v>
      </c>
      <c r="T32" s="156"/>
      <c r="U32" s="156">
        <v>64764.75</v>
      </c>
      <c r="V32" s="109"/>
      <c r="W32" s="111"/>
      <c r="X32" s="109"/>
      <c r="Y32" s="112">
        <f t="shared" si="2"/>
        <v>64764.74999999999</v>
      </c>
      <c r="AB32" s="52">
        <f t="shared" si="3"/>
        <v>0</v>
      </c>
      <c r="AC32" s="41"/>
      <c r="AD32" s="52"/>
    </row>
    <row r="33" spans="1:30" s="39" customFormat="1" ht="14.25">
      <c r="A33" s="107"/>
      <c r="B33" s="108">
        <v>44340</v>
      </c>
      <c r="C33" s="156">
        <v>200600.77</v>
      </c>
      <c r="D33" s="156"/>
      <c r="E33" s="156">
        <v>169202.55</v>
      </c>
      <c r="F33" s="156"/>
      <c r="G33" s="156"/>
      <c r="H33" s="156"/>
      <c r="I33" s="156">
        <v>500</v>
      </c>
      <c r="J33" s="156"/>
      <c r="K33" s="156"/>
      <c r="L33" s="156"/>
      <c r="M33" s="156"/>
      <c r="N33" s="156"/>
      <c r="O33" s="156"/>
      <c r="P33" s="156"/>
      <c r="Q33" s="156">
        <v>1319.16</v>
      </c>
      <c r="R33" s="156"/>
      <c r="S33" s="156">
        <v>3589.25</v>
      </c>
      <c r="T33" s="156"/>
      <c r="U33" s="156">
        <v>25989.81</v>
      </c>
      <c r="V33" s="109"/>
      <c r="W33" s="111"/>
      <c r="X33" s="109"/>
      <c r="Y33" s="112">
        <f t="shared" si="2"/>
        <v>25989.81</v>
      </c>
      <c r="AB33" s="52">
        <f t="shared" si="3"/>
        <v>0</v>
      </c>
      <c r="AC33" s="41"/>
      <c r="AD33" s="52"/>
    </row>
    <row r="34" spans="1:30" s="39" customFormat="1" ht="14.25">
      <c r="A34" s="107"/>
      <c r="B34" s="108">
        <v>44341</v>
      </c>
      <c r="C34" s="156">
        <f>22589.38+179552.9</f>
        <v>202142.28</v>
      </c>
      <c r="D34" s="156"/>
      <c r="E34" s="156">
        <f>18418.27+157746.9</f>
        <v>176165.16999999998</v>
      </c>
      <c r="F34" s="156"/>
      <c r="G34" s="156"/>
      <c r="H34" s="156"/>
      <c r="I34" s="156">
        <f>500+10000</f>
        <v>10500</v>
      </c>
      <c r="J34" s="156"/>
      <c r="K34" s="156"/>
      <c r="L34" s="156"/>
      <c r="M34" s="156"/>
      <c r="N34" s="156"/>
      <c r="O34" s="156"/>
      <c r="P34" s="156"/>
      <c r="Q34" s="156">
        <f>257.07+603.3</f>
        <v>860.3699999999999</v>
      </c>
      <c r="R34" s="156"/>
      <c r="S34" s="156">
        <f>1005+2000</f>
        <v>3005</v>
      </c>
      <c r="T34" s="156"/>
      <c r="U34" s="156">
        <v>11611.74</v>
      </c>
      <c r="V34" s="109"/>
      <c r="W34" s="111"/>
      <c r="X34" s="109"/>
      <c r="Y34" s="112">
        <f t="shared" si="2"/>
        <v>11611.740000000016</v>
      </c>
      <c r="AB34" s="52">
        <f t="shared" si="3"/>
        <v>-1.6370904631912708E-11</v>
      </c>
      <c r="AC34" s="41"/>
      <c r="AD34" s="52"/>
    </row>
    <row r="35" spans="1:30" s="39" customFormat="1" ht="14.25">
      <c r="A35" s="107"/>
      <c r="B35" s="108">
        <v>44342</v>
      </c>
      <c r="C35" s="156">
        <v>45757.43</v>
      </c>
      <c r="D35" s="156"/>
      <c r="E35" s="156">
        <v>32165.84</v>
      </c>
      <c r="F35" s="156"/>
      <c r="G35" s="156"/>
      <c r="H35" s="156"/>
      <c r="I35" s="156">
        <v>1000</v>
      </c>
      <c r="J35" s="156"/>
      <c r="K35" s="156"/>
      <c r="L35" s="156"/>
      <c r="M35" s="156"/>
      <c r="N35" s="156"/>
      <c r="O35" s="156"/>
      <c r="P35" s="156"/>
      <c r="Q35" s="156">
        <v>486.86</v>
      </c>
      <c r="R35" s="156"/>
      <c r="S35" s="156">
        <v>980</v>
      </c>
      <c r="T35" s="156"/>
      <c r="U35" s="156">
        <v>11124.73</v>
      </c>
      <c r="V35" s="109"/>
      <c r="W35" s="109"/>
      <c r="X35" s="109"/>
      <c r="Y35" s="112">
        <f t="shared" si="2"/>
        <v>11124.73</v>
      </c>
      <c r="AB35" s="52">
        <f t="shared" si="3"/>
        <v>0</v>
      </c>
      <c r="AC35" s="41"/>
      <c r="AD35" s="52"/>
    </row>
    <row r="36" spans="1:30" s="39" customFormat="1" ht="14.25">
      <c r="A36" s="107"/>
      <c r="B36" s="108">
        <v>44343</v>
      </c>
      <c r="C36" s="156">
        <v>1513.93</v>
      </c>
      <c r="D36" s="156"/>
      <c r="E36" s="156">
        <v>843.93</v>
      </c>
      <c r="F36" s="156"/>
      <c r="G36" s="156"/>
      <c r="H36" s="156"/>
      <c r="I36" s="156">
        <v>0</v>
      </c>
      <c r="J36" s="156"/>
      <c r="K36" s="156"/>
      <c r="L36" s="156"/>
      <c r="M36" s="156"/>
      <c r="N36" s="156"/>
      <c r="O36" s="156"/>
      <c r="P36" s="156"/>
      <c r="Q36" s="156">
        <v>16.61</v>
      </c>
      <c r="R36" s="156"/>
      <c r="S36" s="156">
        <v>120</v>
      </c>
      <c r="T36" s="156"/>
      <c r="U36" s="156">
        <v>533.39</v>
      </c>
      <c r="V36" s="109"/>
      <c r="W36" s="109"/>
      <c r="X36" s="109"/>
      <c r="Y36" s="112">
        <f t="shared" si="2"/>
        <v>533.3900000000001</v>
      </c>
      <c r="AB36" s="52">
        <f t="shared" si="3"/>
        <v>0</v>
      </c>
      <c r="AC36" s="41"/>
      <c r="AD36" s="52"/>
    </row>
    <row r="37" spans="1:30" s="39" customFormat="1" ht="14.25">
      <c r="A37" s="107"/>
      <c r="B37" s="108">
        <v>44344</v>
      </c>
      <c r="C37" s="156">
        <v>0</v>
      </c>
      <c r="D37" s="156"/>
      <c r="E37" s="156">
        <v>0</v>
      </c>
      <c r="F37" s="156"/>
      <c r="G37" s="156"/>
      <c r="H37" s="156"/>
      <c r="I37" s="156">
        <v>0</v>
      </c>
      <c r="J37" s="156"/>
      <c r="K37" s="156"/>
      <c r="L37" s="156"/>
      <c r="M37" s="156"/>
      <c r="N37" s="156"/>
      <c r="O37" s="156"/>
      <c r="P37" s="156"/>
      <c r="Q37" s="156">
        <v>0</v>
      </c>
      <c r="R37" s="156"/>
      <c r="S37" s="156">
        <v>0</v>
      </c>
      <c r="T37" s="156"/>
      <c r="U37" s="156">
        <v>0</v>
      </c>
      <c r="V37" s="109"/>
      <c r="W37" s="109"/>
      <c r="X37" s="109"/>
      <c r="Y37" s="112">
        <f t="shared" si="2"/>
        <v>0</v>
      </c>
      <c r="AB37" s="52">
        <f t="shared" si="3"/>
        <v>0</v>
      </c>
      <c r="AC37" s="41"/>
      <c r="AD37" s="52"/>
    </row>
    <row r="38" spans="1:28" s="39" customFormat="1" ht="14.25">
      <c r="A38" s="107"/>
      <c r="B38" s="108">
        <v>44345</v>
      </c>
      <c r="C38" s="156">
        <v>0</v>
      </c>
      <c r="D38" s="156"/>
      <c r="E38" s="156">
        <v>0</v>
      </c>
      <c r="F38" s="156"/>
      <c r="G38" s="156"/>
      <c r="H38" s="156"/>
      <c r="I38" s="156">
        <v>0</v>
      </c>
      <c r="J38" s="156"/>
      <c r="K38" s="156"/>
      <c r="L38" s="156"/>
      <c r="M38" s="156"/>
      <c r="N38" s="156"/>
      <c r="O38" s="156"/>
      <c r="P38" s="156"/>
      <c r="Q38" s="156">
        <v>0</v>
      </c>
      <c r="R38" s="156"/>
      <c r="S38" s="156">
        <v>0</v>
      </c>
      <c r="T38" s="156"/>
      <c r="U38" s="156">
        <v>0</v>
      </c>
      <c r="V38" s="109"/>
      <c r="W38" s="109"/>
      <c r="X38" s="109"/>
      <c r="Y38" s="112">
        <f t="shared" si="2"/>
        <v>0</v>
      </c>
      <c r="AB38" s="52">
        <f t="shared" si="3"/>
        <v>0</v>
      </c>
    </row>
    <row r="39" spans="1:28" s="39" customFormat="1" ht="14.25">
      <c r="A39" s="107"/>
      <c r="B39" s="108">
        <v>44346</v>
      </c>
      <c r="C39" s="156">
        <v>0</v>
      </c>
      <c r="D39" s="156"/>
      <c r="E39" s="156">
        <v>0</v>
      </c>
      <c r="F39" s="156"/>
      <c r="G39" s="156"/>
      <c r="H39" s="156"/>
      <c r="I39" s="156">
        <v>0</v>
      </c>
      <c r="J39" s="156"/>
      <c r="K39" s="156"/>
      <c r="L39" s="156"/>
      <c r="M39" s="156"/>
      <c r="N39" s="156"/>
      <c r="O39" s="156"/>
      <c r="P39" s="156"/>
      <c r="Q39" s="156">
        <v>0</v>
      </c>
      <c r="R39" s="156"/>
      <c r="S39" s="156">
        <v>0</v>
      </c>
      <c r="T39" s="156"/>
      <c r="U39" s="156">
        <v>0</v>
      </c>
      <c r="V39" s="109"/>
      <c r="W39" s="109"/>
      <c r="X39" s="109"/>
      <c r="Y39" s="112">
        <f t="shared" si="2"/>
        <v>0</v>
      </c>
      <c r="AB39" s="52">
        <f t="shared" si="3"/>
        <v>0</v>
      </c>
    </row>
    <row r="40" spans="1:28" s="39" customFormat="1" ht="14.25">
      <c r="A40" s="107"/>
      <c r="B40" s="108">
        <v>44347</v>
      </c>
      <c r="C40" s="156">
        <v>0</v>
      </c>
      <c r="D40" s="156"/>
      <c r="E40" s="156">
        <v>0</v>
      </c>
      <c r="F40" s="156"/>
      <c r="G40" s="156"/>
      <c r="H40" s="156"/>
      <c r="I40" s="156">
        <v>0</v>
      </c>
      <c r="J40" s="156"/>
      <c r="K40" s="156"/>
      <c r="L40" s="156"/>
      <c r="M40" s="156"/>
      <c r="N40" s="156"/>
      <c r="O40" s="156"/>
      <c r="P40" s="156"/>
      <c r="Q40" s="156">
        <v>0</v>
      </c>
      <c r="R40" s="156"/>
      <c r="S40" s="156">
        <v>0</v>
      </c>
      <c r="T40" s="156"/>
      <c r="U40" s="156">
        <v>0</v>
      </c>
      <c r="V40" s="109"/>
      <c r="W40" s="109"/>
      <c r="X40" s="109"/>
      <c r="Y40" s="112">
        <f t="shared" si="2"/>
        <v>0</v>
      </c>
      <c r="AB40" s="52"/>
    </row>
    <row r="41" spans="1:25" s="56" customFormat="1" ht="11.25">
      <c r="A41" s="113"/>
      <c r="B41" s="114" t="s">
        <v>31</v>
      </c>
      <c r="C41" s="115">
        <f>SUM(C10:C40)</f>
        <v>8850589.169999996</v>
      </c>
      <c r="D41" s="115"/>
      <c r="E41" s="115">
        <f>SUM(E10:E40)</f>
        <v>7521833.249999999</v>
      </c>
      <c r="F41" s="115"/>
      <c r="G41" s="115"/>
      <c r="H41" s="115"/>
      <c r="I41" s="115">
        <f>SUM(I10:I40)</f>
        <v>232575</v>
      </c>
      <c r="J41" s="115"/>
      <c r="K41" s="115"/>
      <c r="L41" s="115"/>
      <c r="M41" s="115"/>
      <c r="N41" s="115"/>
      <c r="O41" s="115"/>
      <c r="P41" s="115"/>
      <c r="Q41" s="115">
        <f>SUM(Q10:Q40)</f>
        <v>92576.63</v>
      </c>
      <c r="R41" s="115"/>
      <c r="S41" s="115">
        <f>SUM(S10:S40)</f>
        <v>235011.28</v>
      </c>
      <c r="T41" s="115"/>
      <c r="U41" s="115">
        <f>SUM(U10:U40)</f>
        <v>768593.0100000001</v>
      </c>
      <c r="V41" s="115"/>
      <c r="W41" s="115"/>
      <c r="X41" s="115"/>
      <c r="Y41" s="115">
        <f>SUM(Y10:Y40)</f>
        <v>768593.01</v>
      </c>
    </row>
    <row r="42" spans="1:25" s="56" customFormat="1" ht="10.5">
      <c r="A42" s="113"/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8"/>
      <c r="V42" s="117"/>
      <c r="W42" s="117"/>
      <c r="X42" s="117"/>
      <c r="Y42" s="117"/>
    </row>
    <row r="43" spans="1:25" s="56" customFormat="1" ht="15">
      <c r="A43" s="113"/>
      <c r="B43" s="152" t="s">
        <v>63</v>
      </c>
      <c r="C43" s="139"/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40"/>
      <c r="V43" s="138"/>
      <c r="W43" s="139"/>
      <c r="X43" s="138"/>
      <c r="Y43" s="145">
        <f>C43-E43-I43-Q43-S43</f>
        <v>0</v>
      </c>
    </row>
    <row r="44" spans="1:25" s="56" customFormat="1" ht="15">
      <c r="A44" s="113"/>
      <c r="B44" s="153" t="s">
        <v>64</v>
      </c>
      <c r="C44" s="139"/>
      <c r="D44" s="138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40"/>
      <c r="V44" s="138"/>
      <c r="W44" s="139"/>
      <c r="X44" s="138"/>
      <c r="Y44" s="145">
        <f>U44</f>
        <v>0</v>
      </c>
    </row>
    <row r="45" spans="1:25" s="56" customFormat="1" ht="15">
      <c r="A45" s="113"/>
      <c r="B45" s="153"/>
      <c r="C45" s="139"/>
      <c r="D45" s="138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40"/>
      <c r="V45" s="138"/>
      <c r="W45" s="139"/>
      <c r="X45" s="138"/>
      <c r="Y45" s="145">
        <f>U45</f>
        <v>0</v>
      </c>
    </row>
    <row r="46" spans="1:25" s="56" customFormat="1" ht="14.25">
      <c r="A46" s="113"/>
      <c r="B46" s="138"/>
      <c r="C46" s="139"/>
      <c r="D46" s="138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40"/>
      <c r="V46" s="138"/>
      <c r="W46" s="139"/>
      <c r="X46" s="138"/>
      <c r="Y46" s="140"/>
    </row>
    <row r="47" spans="1:25" s="56" customFormat="1" ht="14.25">
      <c r="A47" s="113"/>
      <c r="B47" s="138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</row>
    <row r="48" spans="1:25" s="56" customFormat="1" ht="15">
      <c r="A48" s="113"/>
      <c r="B48" s="141" t="s">
        <v>59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</row>
    <row r="49" spans="1:25" s="39" customFormat="1" ht="15" thickBot="1">
      <c r="A49" s="107"/>
      <c r="B49" s="138" t="s">
        <v>60</v>
      </c>
      <c r="C49" s="142">
        <f>+C41+C43+C44</f>
        <v>8850589.169999996</v>
      </c>
      <c r="D49" s="142"/>
      <c r="E49" s="142">
        <f aca="true" t="shared" si="4" ref="E49:X49">+E41+E43+E44</f>
        <v>7521833.249999999</v>
      </c>
      <c r="F49" s="142">
        <f t="shared" si="4"/>
        <v>0</v>
      </c>
      <c r="G49" s="142">
        <f t="shared" si="4"/>
        <v>0</v>
      </c>
      <c r="H49" s="142"/>
      <c r="I49" s="142">
        <f t="shared" si="4"/>
        <v>232575</v>
      </c>
      <c r="J49" s="142">
        <f t="shared" si="4"/>
        <v>0</v>
      </c>
      <c r="K49" s="142">
        <f t="shared" si="4"/>
        <v>0</v>
      </c>
      <c r="L49" s="142">
        <f t="shared" si="4"/>
        <v>0</v>
      </c>
      <c r="M49" s="142">
        <f t="shared" si="4"/>
        <v>0</v>
      </c>
      <c r="N49" s="142">
        <f t="shared" si="4"/>
        <v>0</v>
      </c>
      <c r="O49" s="142">
        <f t="shared" si="4"/>
        <v>0</v>
      </c>
      <c r="P49" s="142"/>
      <c r="Q49" s="142">
        <f t="shared" si="4"/>
        <v>92576.63</v>
      </c>
      <c r="R49" s="142"/>
      <c r="S49" s="142">
        <f t="shared" si="4"/>
        <v>235011.28</v>
      </c>
      <c r="T49" s="142"/>
      <c r="U49" s="142">
        <f>+U41+U43+U44+U45</f>
        <v>768593.0100000001</v>
      </c>
      <c r="V49" s="142"/>
      <c r="W49" s="142">
        <f t="shared" si="4"/>
        <v>0</v>
      </c>
      <c r="X49" s="142">
        <f t="shared" si="4"/>
        <v>0</v>
      </c>
      <c r="Y49" s="142">
        <f>+Y41+Y43+Y44+Y45</f>
        <v>768593.01</v>
      </c>
    </row>
    <row r="50" spans="1:25" s="39" customFormat="1" ht="15" thickTop="1">
      <c r="A50" s="107"/>
      <c r="B50" s="138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</row>
    <row r="51" spans="1:25" s="39" customFormat="1" ht="6" customHeight="1">
      <c r="A51" s="107"/>
      <c r="B51" s="107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10"/>
      <c r="V51" s="109"/>
      <c r="W51" s="109"/>
      <c r="X51" s="109"/>
      <c r="Y51" s="109"/>
    </row>
    <row r="52" spans="1:25" s="56" customFormat="1" ht="11.25" thickBot="1">
      <c r="A52" s="113" t="s">
        <v>32</v>
      </c>
      <c r="B52" s="120" t="s">
        <v>48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2"/>
      <c r="V52" s="121"/>
      <c r="W52" s="121"/>
      <c r="X52" s="121"/>
      <c r="Y52" s="121">
        <f>+Y41+Y43+Y44+Y45</f>
        <v>768593.01</v>
      </c>
    </row>
    <row r="53" spans="3:25" s="39" customFormat="1" ht="12" thickTop="1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3"/>
      <c r="V53" s="41"/>
      <c r="W53" s="41"/>
      <c r="X53" s="41"/>
      <c r="Y53" s="41"/>
    </row>
    <row r="54" spans="3:25" s="39" customFormat="1" ht="11.25">
      <c r="C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3"/>
      <c r="W54" s="41"/>
      <c r="Y54" s="52"/>
    </row>
    <row r="55" spans="2:25" s="39" customFormat="1" ht="12.75">
      <c r="B55" s="129" t="s">
        <v>57</v>
      </c>
      <c r="C55" s="134"/>
      <c r="D55" s="135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6"/>
      <c r="V55" s="135"/>
      <c r="W55" s="134"/>
      <c r="X55" s="135"/>
      <c r="Y55" s="137"/>
    </row>
    <row r="56" spans="2:23" s="39" customFormat="1" ht="11.25">
      <c r="B56" s="80"/>
      <c r="C56" s="52"/>
      <c r="U56" s="79"/>
      <c r="W56" s="41"/>
    </row>
    <row r="57" spans="21:23" s="39" customFormat="1" ht="6.75" customHeight="1">
      <c r="U57" s="79"/>
      <c r="W57" s="41"/>
    </row>
    <row r="58" spans="3:25" s="39" customFormat="1" ht="12" thickBot="1">
      <c r="C58" s="8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3"/>
      <c r="V58" s="41"/>
      <c r="W58" s="41"/>
      <c r="X58" s="41"/>
      <c r="Y58" s="41"/>
    </row>
    <row r="59" spans="2:25" s="39" customFormat="1" ht="12" thickBot="1">
      <c r="B59" s="123" t="s">
        <v>49</v>
      </c>
      <c r="C59" s="8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3"/>
      <c r="V59" s="41"/>
      <c r="W59" s="41"/>
      <c r="X59" s="41"/>
      <c r="Y59" s="124">
        <f>+Y41+Y43+Y44+Y45</f>
        <v>768593.01</v>
      </c>
    </row>
    <row r="60" spans="5:25" s="39" customFormat="1" ht="6" customHeight="1"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3"/>
      <c r="V60" s="41"/>
      <c r="W60" s="41"/>
      <c r="X60" s="41"/>
      <c r="Y60" s="41"/>
    </row>
    <row r="61" spans="2:25" s="56" customFormat="1" ht="11.25" thickBot="1">
      <c r="B61" s="76"/>
      <c r="C61" s="82"/>
      <c r="D61" s="76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8"/>
      <c r="V61" s="77"/>
      <c r="W61" s="77"/>
      <c r="X61" s="77"/>
      <c r="Y61" s="77"/>
    </row>
    <row r="62" ht="15" thickTop="1"/>
    <row r="63" spans="21:25" ht="14.25">
      <c r="U63" s="125">
        <v>0.2985</v>
      </c>
      <c r="V63">
        <v>0.2125</v>
      </c>
      <c r="Y63" s="133">
        <f>Y59*U63</f>
        <v>229425.013485</v>
      </c>
    </row>
    <row r="64" spans="21:25" ht="14.25">
      <c r="U64" s="126">
        <v>0.09</v>
      </c>
      <c r="V64">
        <v>0.09</v>
      </c>
      <c r="Y64" s="133">
        <f>Y59*U64</f>
        <v>69173.3709</v>
      </c>
    </row>
    <row r="65" spans="2:25" s="39" customFormat="1" ht="12" thickBot="1">
      <c r="B65" s="80" t="s">
        <v>38</v>
      </c>
      <c r="U65" s="79" t="s">
        <v>50</v>
      </c>
      <c r="W65" s="41"/>
      <c r="Y65" s="127">
        <f>Y63-Y64</f>
        <v>160251.64258500002</v>
      </c>
    </row>
    <row r="66" spans="21:23" s="39" customFormat="1" ht="6.75" customHeight="1" thickTop="1">
      <c r="U66" s="79"/>
      <c r="W66" s="41"/>
    </row>
    <row r="67" spans="2:23" s="39" customFormat="1" ht="11.25">
      <c r="B67" s="83" t="s">
        <v>39</v>
      </c>
      <c r="U67" s="79"/>
      <c r="W67" s="41"/>
    </row>
    <row r="68" spans="2:23" s="39" customFormat="1" ht="6.75" customHeight="1">
      <c r="B68" s="83"/>
      <c r="U68" s="79"/>
      <c r="W68" s="41"/>
    </row>
    <row r="69" spans="2:23" s="39" customFormat="1" ht="11.25">
      <c r="B69" s="72" t="s">
        <v>40</v>
      </c>
      <c r="U69" s="79"/>
      <c r="W69" s="41"/>
    </row>
    <row r="70" spans="21:23" s="39" customFormat="1" ht="12" customHeight="1">
      <c r="U70" s="79"/>
      <c r="W70" s="41"/>
    </row>
    <row r="71" spans="2:25" s="39" customFormat="1" ht="11.25">
      <c r="B71" s="84" t="s">
        <v>38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6"/>
      <c r="V71" s="87"/>
      <c r="W71" s="44"/>
      <c r="X71" s="87"/>
      <c r="Y71" s="87"/>
    </row>
    <row r="72" spans="21:23" s="39" customFormat="1" ht="11.25">
      <c r="U72" s="79"/>
      <c r="W72" s="41"/>
    </row>
    <row r="73" spans="21:23" s="39" customFormat="1" ht="11.25">
      <c r="U73" s="79"/>
      <c r="W73" s="41"/>
    </row>
    <row r="74" spans="2:23" s="39" customFormat="1" ht="11.25">
      <c r="B74" s="40">
        <f>+B10</f>
        <v>44317</v>
      </c>
      <c r="C74" s="41"/>
      <c r="E74" s="41"/>
      <c r="I74" s="41"/>
      <c r="U74" s="79"/>
      <c r="W74" s="41"/>
    </row>
    <row r="75" spans="2:23" s="39" customFormat="1" ht="11.25">
      <c r="B75" s="40">
        <f aca="true" t="shared" si="5" ref="B75:B104">+B74+1</f>
        <v>44318</v>
      </c>
      <c r="U75" s="79"/>
      <c r="W75" s="41"/>
    </row>
    <row r="76" spans="2:23" s="39" customFormat="1" ht="11.25">
      <c r="B76" s="40">
        <f t="shared" si="5"/>
        <v>44319</v>
      </c>
      <c r="U76" s="79"/>
      <c r="W76" s="41"/>
    </row>
    <row r="77" spans="2:23" s="39" customFormat="1" ht="11.25">
      <c r="B77" s="40">
        <f t="shared" si="5"/>
        <v>44320</v>
      </c>
      <c r="U77" s="79"/>
      <c r="W77" s="41"/>
    </row>
    <row r="78" spans="2:23" s="39" customFormat="1" ht="11.25">
      <c r="B78" s="40">
        <f t="shared" si="5"/>
        <v>44321</v>
      </c>
      <c r="U78" s="79"/>
      <c r="W78" s="41"/>
    </row>
    <row r="79" spans="2:23" s="39" customFormat="1" ht="11.25">
      <c r="B79" s="40">
        <f t="shared" si="5"/>
        <v>44322</v>
      </c>
      <c r="U79" s="79"/>
      <c r="W79" s="41"/>
    </row>
    <row r="80" spans="2:23" s="39" customFormat="1" ht="11.25">
      <c r="B80" s="40">
        <f t="shared" si="5"/>
        <v>44323</v>
      </c>
      <c r="U80" s="79"/>
      <c r="W80" s="41"/>
    </row>
    <row r="81" spans="2:23" s="39" customFormat="1" ht="11.25">
      <c r="B81" s="40">
        <f t="shared" si="5"/>
        <v>44324</v>
      </c>
      <c r="U81" s="79"/>
      <c r="W81" s="41"/>
    </row>
    <row r="82" spans="2:23" s="39" customFormat="1" ht="11.25">
      <c r="B82" s="40">
        <f t="shared" si="5"/>
        <v>44325</v>
      </c>
      <c r="U82" s="79"/>
      <c r="W82" s="41"/>
    </row>
    <row r="83" spans="2:23" s="39" customFormat="1" ht="11.25">
      <c r="B83" s="40">
        <f t="shared" si="5"/>
        <v>44326</v>
      </c>
      <c r="U83" s="79"/>
      <c r="W83" s="41"/>
    </row>
    <row r="84" spans="2:23" s="39" customFormat="1" ht="11.25">
      <c r="B84" s="40">
        <f t="shared" si="5"/>
        <v>44327</v>
      </c>
      <c r="U84" s="79"/>
      <c r="W84" s="41"/>
    </row>
    <row r="85" spans="2:23" s="39" customFormat="1" ht="11.25">
      <c r="B85" s="40">
        <f t="shared" si="5"/>
        <v>44328</v>
      </c>
      <c r="U85" s="79"/>
      <c r="W85" s="41"/>
    </row>
    <row r="86" spans="2:23" s="39" customFormat="1" ht="11.25">
      <c r="B86" s="40">
        <f t="shared" si="5"/>
        <v>44329</v>
      </c>
      <c r="U86" s="79"/>
      <c r="W86" s="41"/>
    </row>
    <row r="87" spans="2:23" s="39" customFormat="1" ht="11.25">
      <c r="B87" s="40">
        <f t="shared" si="5"/>
        <v>44330</v>
      </c>
      <c r="U87" s="79"/>
      <c r="W87" s="41"/>
    </row>
    <row r="88" spans="2:23" s="39" customFormat="1" ht="11.25">
      <c r="B88" s="40">
        <f t="shared" si="5"/>
        <v>44331</v>
      </c>
      <c r="U88" s="79"/>
      <c r="W88" s="41"/>
    </row>
    <row r="89" spans="2:23" s="39" customFormat="1" ht="11.25">
      <c r="B89" s="40">
        <f t="shared" si="5"/>
        <v>44332</v>
      </c>
      <c r="U89" s="79"/>
      <c r="W89" s="41"/>
    </row>
    <row r="90" spans="2:23" s="39" customFormat="1" ht="11.25">
      <c r="B90" s="40">
        <f t="shared" si="5"/>
        <v>44333</v>
      </c>
      <c r="U90" s="79"/>
      <c r="W90" s="41"/>
    </row>
    <row r="91" spans="2:23" s="39" customFormat="1" ht="11.25">
      <c r="B91" s="40">
        <f t="shared" si="5"/>
        <v>44334</v>
      </c>
      <c r="U91" s="79"/>
      <c r="W91" s="41"/>
    </row>
    <row r="92" spans="2:23" s="39" customFormat="1" ht="11.25">
      <c r="B92" s="40">
        <f t="shared" si="5"/>
        <v>44335</v>
      </c>
      <c r="U92" s="79"/>
      <c r="W92" s="41"/>
    </row>
    <row r="93" spans="2:23" s="39" customFormat="1" ht="11.25">
      <c r="B93" s="40">
        <f t="shared" si="5"/>
        <v>44336</v>
      </c>
      <c r="U93" s="79"/>
      <c r="W93" s="41"/>
    </row>
    <row r="94" spans="2:23" s="39" customFormat="1" ht="11.25">
      <c r="B94" s="40">
        <f t="shared" si="5"/>
        <v>44337</v>
      </c>
      <c r="U94" s="79"/>
      <c r="W94" s="41"/>
    </row>
    <row r="95" spans="2:23" s="39" customFormat="1" ht="11.25">
      <c r="B95" s="40">
        <f t="shared" si="5"/>
        <v>44338</v>
      </c>
      <c r="U95" s="79"/>
      <c r="W95" s="41"/>
    </row>
    <row r="96" spans="2:23" s="39" customFormat="1" ht="11.25">
      <c r="B96" s="40">
        <f t="shared" si="5"/>
        <v>44339</v>
      </c>
      <c r="U96" s="79"/>
      <c r="W96" s="41"/>
    </row>
    <row r="97" spans="2:23" s="39" customFormat="1" ht="11.25">
      <c r="B97" s="40">
        <f t="shared" si="5"/>
        <v>44340</v>
      </c>
      <c r="U97" s="79"/>
      <c r="W97" s="41"/>
    </row>
    <row r="98" spans="2:23" s="39" customFormat="1" ht="11.25">
      <c r="B98" s="40">
        <f t="shared" si="5"/>
        <v>44341</v>
      </c>
      <c r="U98" s="79"/>
      <c r="W98" s="41"/>
    </row>
    <row r="99" spans="2:23" s="39" customFormat="1" ht="11.25">
      <c r="B99" s="40">
        <f t="shared" si="5"/>
        <v>44342</v>
      </c>
      <c r="U99" s="79"/>
      <c r="W99" s="41"/>
    </row>
    <row r="100" spans="2:23" s="39" customFormat="1" ht="11.25">
      <c r="B100" s="40">
        <f t="shared" si="5"/>
        <v>44343</v>
      </c>
      <c r="U100" s="79"/>
      <c r="W100" s="41"/>
    </row>
    <row r="101" spans="2:23" s="39" customFormat="1" ht="11.25">
      <c r="B101" s="40">
        <f t="shared" si="5"/>
        <v>44344</v>
      </c>
      <c r="U101" s="79"/>
      <c r="W101" s="41"/>
    </row>
    <row r="102" spans="2:23" s="39" customFormat="1" ht="11.25">
      <c r="B102" s="40">
        <f t="shared" si="5"/>
        <v>44345</v>
      </c>
      <c r="U102" s="79"/>
      <c r="W102" s="41"/>
    </row>
    <row r="103" spans="2:23" s="39" customFormat="1" ht="11.25">
      <c r="B103" s="40">
        <f t="shared" si="5"/>
        <v>44346</v>
      </c>
      <c r="U103" s="79"/>
      <c r="W103" s="41"/>
    </row>
    <row r="104" spans="2:23" s="39" customFormat="1" ht="11.25">
      <c r="B104" s="40">
        <f t="shared" si="5"/>
        <v>44347</v>
      </c>
      <c r="U104" s="79"/>
      <c r="W104" s="41"/>
    </row>
    <row r="105" spans="2:23" s="39" customFormat="1" ht="14.25">
      <c r="B105"/>
      <c r="U105" s="79"/>
      <c r="W105" s="41"/>
    </row>
    <row r="106" spans="2:23" s="39" customFormat="1" ht="14.25">
      <c r="B106"/>
      <c r="U106" s="79"/>
      <c r="W106" s="41"/>
    </row>
  </sheetData>
  <sheetProtection/>
  <mergeCells count="3">
    <mergeCell ref="C1:X1"/>
    <mergeCell ref="C2:X2"/>
    <mergeCell ref="C3:X3"/>
  </mergeCells>
  <printOptions/>
  <pageMargins left="0.75" right="0.75" top="0.37" bottom="0.3" header="0.21" footer="0.19"/>
  <pageSetup fitToHeight="1" fitToWidth="1" horizontalDpi="600" verticalDpi="6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Z97"/>
  <sheetViews>
    <sheetView zoomScale="75" zoomScaleNormal="75" zoomScalePageLayoutView="0" workbookViewId="0" topLeftCell="A1">
      <pane ySplit="8" topLeftCell="A33" activePane="bottomLeft" state="frozen"/>
      <selection pane="topLeft" activeCell="A1" sqref="A1"/>
      <selection pane="bottomLeft" activeCell="V47" sqref="V47"/>
    </sheetView>
  </sheetViews>
  <sheetFormatPr defaultColWidth="9.00390625" defaultRowHeight="14.25"/>
  <cols>
    <col min="1" max="1" width="36.25390625" style="0" customWidth="1"/>
    <col min="2" max="2" width="15.125" style="0" bestFit="1" customWidth="1"/>
    <col min="4" max="4" width="15.125" style="0" bestFit="1" customWidth="1"/>
    <col min="6" max="7" width="0" style="0" hidden="1" customWidth="1"/>
    <col min="8" max="8" width="14.125" style="0" bestFit="1" customWidth="1"/>
    <col min="10" max="15" width="0" style="0" hidden="1" customWidth="1"/>
    <col min="16" max="16" width="15.00390625" style="0" bestFit="1" customWidth="1"/>
    <col min="18" max="18" width="12.50390625" style="0" bestFit="1" customWidth="1"/>
    <col min="20" max="20" width="13.00390625" style="0" bestFit="1" customWidth="1"/>
    <col min="21" max="21" width="8.625" style="0" customWidth="1"/>
    <col min="22" max="22" width="14.75390625" style="0" bestFit="1" customWidth="1"/>
    <col min="23" max="24" width="0" style="0" hidden="1" customWidth="1"/>
    <col min="26" max="26" width="15.25390625" style="0" bestFit="1" customWidth="1"/>
  </cols>
  <sheetData>
    <row r="1" spans="1:26" ht="18.75">
      <c r="A1" s="90" t="s">
        <v>51</v>
      </c>
      <c r="B1" s="158" t="s">
        <v>1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2"/>
    </row>
    <row r="2" spans="1:26" ht="18.75">
      <c r="A2" s="91"/>
      <c r="B2" s="158" t="s">
        <v>2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2"/>
    </row>
    <row r="3" spans="1:26" ht="18.75">
      <c r="A3" s="91"/>
      <c r="B3" s="158" t="s">
        <v>65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2"/>
    </row>
    <row r="4" spans="1:24" ht="14.25">
      <c r="A4" s="93" t="s">
        <v>3</v>
      </c>
      <c r="B4" t="s">
        <v>4</v>
      </c>
      <c r="P4" s="6"/>
      <c r="V4" s="6"/>
      <c r="X4" s="7"/>
    </row>
    <row r="5" spans="1:24" ht="14.25">
      <c r="A5" s="93"/>
      <c r="P5" s="6"/>
      <c r="V5" s="6"/>
      <c r="X5" s="7"/>
    </row>
    <row r="6" spans="1:26" ht="51">
      <c r="A6" s="98" t="s">
        <v>6</v>
      </c>
      <c r="B6" s="13" t="s">
        <v>7</v>
      </c>
      <c r="C6" s="15" t="s">
        <v>8</v>
      </c>
      <c r="D6" s="13" t="s">
        <v>9</v>
      </c>
      <c r="E6" s="15" t="s">
        <v>8</v>
      </c>
      <c r="F6" s="13" t="s">
        <v>10</v>
      </c>
      <c r="G6" s="15" t="s">
        <v>8</v>
      </c>
      <c r="H6" s="13" t="s">
        <v>11</v>
      </c>
      <c r="I6" s="15" t="s">
        <v>8</v>
      </c>
      <c r="J6" s="13" t="s">
        <v>12</v>
      </c>
      <c r="K6" s="15" t="s">
        <v>8</v>
      </c>
      <c r="L6" s="13" t="s">
        <v>13</v>
      </c>
      <c r="M6" s="15" t="s">
        <v>8</v>
      </c>
      <c r="N6" s="13" t="s">
        <v>14</v>
      </c>
      <c r="O6" s="15" t="s">
        <v>8</v>
      </c>
      <c r="P6" s="16" t="s">
        <v>15</v>
      </c>
      <c r="Q6" s="15" t="s">
        <v>8</v>
      </c>
      <c r="R6" s="13" t="s">
        <v>16</v>
      </c>
      <c r="S6" s="15" t="s">
        <v>8</v>
      </c>
      <c r="T6" s="13" t="s">
        <v>17</v>
      </c>
      <c r="U6" s="15" t="s">
        <v>18</v>
      </c>
      <c r="V6" s="16" t="s">
        <v>19</v>
      </c>
      <c r="W6" s="15" t="s">
        <v>20</v>
      </c>
      <c r="X6" s="17" t="s">
        <v>21</v>
      </c>
      <c r="Y6" s="15" t="s">
        <v>18</v>
      </c>
      <c r="Z6" s="13" t="s">
        <v>22</v>
      </c>
    </row>
    <row r="7" ht="14.25">
      <c r="A7" s="93"/>
    </row>
    <row r="8" ht="14.25">
      <c r="A8" s="103" t="s">
        <v>30</v>
      </c>
    </row>
    <row r="9" ht="14.25">
      <c r="A9" s="92"/>
    </row>
    <row r="10" spans="1:26" ht="14.25">
      <c r="A10" s="108">
        <v>44317</v>
      </c>
      <c r="B10" s="22">
        <f>+Total!C10-'Player Program'!C10</f>
        <v>17620435.18</v>
      </c>
      <c r="D10" s="22">
        <f>Total!E10-'Player Program'!E10</f>
        <v>15182521.14</v>
      </c>
      <c r="H10" s="22">
        <f>+Total!I10-'Player Program'!I10</f>
        <v>643634.94</v>
      </c>
      <c r="P10" s="22">
        <f>Total!Q10-'Player Program'!Q10</f>
        <v>170026.01</v>
      </c>
      <c r="R10" s="22">
        <f>Total!S10</f>
        <v>8857.76</v>
      </c>
      <c r="T10" s="22">
        <f>Total!U10-'Player Program'!S10</f>
        <v>120399.96999999999</v>
      </c>
      <c r="V10" s="22">
        <f>B10-D10-H10-P10-R10-T10</f>
        <v>1494995.3599999992</v>
      </c>
      <c r="Z10" s="22">
        <f>V10</f>
        <v>1494995.3599999992</v>
      </c>
    </row>
    <row r="11" spans="1:26" ht="14.25">
      <c r="A11" s="108">
        <v>44318</v>
      </c>
      <c r="B11" s="22">
        <f>+Total!C11-'Player Program'!C11</f>
        <v>12472657.57</v>
      </c>
      <c r="D11" s="22">
        <f>Total!E11-'Player Program'!E11</f>
        <v>10773256.23</v>
      </c>
      <c r="H11" s="22">
        <f>+Total!I11-'Player Program'!I11</f>
        <v>484428.5</v>
      </c>
      <c r="P11" s="22">
        <f>Total!Q11-'Player Program'!Q11</f>
        <v>113744.73999999999</v>
      </c>
      <c r="R11" s="22">
        <f>Total!S11</f>
        <v>6693.85</v>
      </c>
      <c r="T11" s="22">
        <f>Total!U11-'Player Program'!S11</f>
        <v>101207.45</v>
      </c>
      <c r="V11" s="22">
        <f aca="true" t="shared" si="0" ref="V11:V39">B11-D11-H11-P11-R11-T11</f>
        <v>993326.7999999998</v>
      </c>
      <c r="Z11" s="22">
        <f aca="true" t="shared" si="1" ref="Z11:Z41">V11</f>
        <v>993326.7999999998</v>
      </c>
    </row>
    <row r="12" spans="1:26" ht="14.25">
      <c r="A12" s="108">
        <v>44319</v>
      </c>
      <c r="B12" s="22">
        <f>+Total!C12-'Player Program'!C12</f>
        <v>9082216.82</v>
      </c>
      <c r="D12" s="22">
        <f>Total!E12-'Player Program'!E12</f>
        <v>8023357.24</v>
      </c>
      <c r="H12" s="22">
        <f>+Total!I12-'Player Program'!I12</f>
        <v>345663.54</v>
      </c>
      <c r="P12" s="22">
        <f>Total!Q12-'Player Program'!Q12</f>
        <v>81500.19</v>
      </c>
      <c r="R12" s="22">
        <f>Total!S12</f>
        <v>6472.450000000001</v>
      </c>
      <c r="T12" s="22">
        <f>Total!U12-'Player Program'!S12</f>
        <v>105683.19</v>
      </c>
      <c r="V12" s="22">
        <f t="shared" si="0"/>
        <v>519540.21000000014</v>
      </c>
      <c r="Z12" s="22">
        <f t="shared" si="1"/>
        <v>519540.21000000014</v>
      </c>
    </row>
    <row r="13" spans="1:26" ht="14.25">
      <c r="A13" s="108">
        <v>44320</v>
      </c>
      <c r="B13" s="22">
        <f>+Total!C13-'Player Program'!C13</f>
        <v>8633890.03</v>
      </c>
      <c r="D13" s="22">
        <f>Total!E13-'Player Program'!E13</f>
        <v>7449729.3100000005</v>
      </c>
      <c r="H13" s="22">
        <f>+Total!I13-'Player Program'!I13</f>
        <v>293694.25</v>
      </c>
      <c r="P13" s="22">
        <f>Total!Q13-'Player Program'!Q13</f>
        <v>80655.78</v>
      </c>
      <c r="R13" s="22">
        <f>Total!S13</f>
        <v>6351.319999999999</v>
      </c>
      <c r="T13" s="22">
        <f>Total!U13-'Player Program'!S13</f>
        <v>78448.45</v>
      </c>
      <c r="V13" s="22">
        <f t="shared" si="0"/>
        <v>725010.9199999989</v>
      </c>
      <c r="Z13" s="22">
        <f t="shared" si="1"/>
        <v>725010.9199999989</v>
      </c>
    </row>
    <row r="14" spans="1:26" ht="14.25">
      <c r="A14" s="108">
        <v>44321</v>
      </c>
      <c r="B14" s="22">
        <f>+Total!C14-'Player Program'!C14</f>
        <v>9587779.35</v>
      </c>
      <c r="D14" s="22">
        <f>Total!E14-'Player Program'!E14</f>
        <v>8405835.06</v>
      </c>
      <c r="H14" s="22">
        <f>+Total!I14-'Player Program'!I14</f>
        <v>355959.16</v>
      </c>
      <c r="P14" s="22">
        <f>Total!Q14-'Player Program'!Q14</f>
        <v>95130.17000000001</v>
      </c>
      <c r="R14" s="22">
        <f>Total!S14</f>
        <v>11163.919999999998</v>
      </c>
      <c r="T14" s="22">
        <f>Total!U14-'Player Program'!S14</f>
        <v>67721.62</v>
      </c>
      <c r="V14" s="22">
        <f t="shared" si="0"/>
        <v>651969.4199999991</v>
      </c>
      <c r="Z14" s="22">
        <f t="shared" si="1"/>
        <v>651969.4199999991</v>
      </c>
    </row>
    <row r="15" spans="1:26" ht="14.25">
      <c r="A15" s="108">
        <v>44322</v>
      </c>
      <c r="B15" s="22">
        <f>+Total!C15-'Player Program'!C15</f>
        <v>10164603.709999999</v>
      </c>
      <c r="D15" s="22">
        <f>Total!E15-'Player Program'!E15</f>
        <v>8734220.18</v>
      </c>
      <c r="H15" s="22">
        <f>+Total!I15-'Player Program'!I15</f>
        <v>375746.42</v>
      </c>
      <c r="P15" s="22">
        <f>Total!Q15-'Player Program'!Q15</f>
        <v>89870.25</v>
      </c>
      <c r="R15" s="22">
        <f>Total!S15</f>
        <v>11566.389999999998</v>
      </c>
      <c r="T15" s="22">
        <f>Total!U15-'Player Program'!S15</f>
        <v>83237.46999999999</v>
      </c>
      <c r="V15" s="22">
        <f t="shared" si="0"/>
        <v>869962.9999999994</v>
      </c>
      <c r="Z15" s="22">
        <f t="shared" si="1"/>
        <v>869962.9999999994</v>
      </c>
    </row>
    <row r="16" spans="1:26" ht="14.25">
      <c r="A16" s="108">
        <v>44323</v>
      </c>
      <c r="B16" s="22">
        <f>+Total!C16-'Player Program'!C16</f>
        <v>14746769.08</v>
      </c>
      <c r="D16" s="22">
        <f>Total!E16-'Player Program'!E16</f>
        <v>12691322.65</v>
      </c>
      <c r="H16" s="22">
        <f>+Total!I16-'Player Program'!I16</f>
        <v>493857.12</v>
      </c>
      <c r="P16" s="22">
        <f>Total!Q16-'Player Program'!Q16</f>
        <v>140163.49</v>
      </c>
      <c r="R16" s="22">
        <f>Total!S16</f>
        <v>12633.45</v>
      </c>
      <c r="T16" s="22">
        <f>Total!U16-'Player Program'!S16</f>
        <v>101393.83</v>
      </c>
      <c r="V16" s="22">
        <f t="shared" si="0"/>
        <v>1307398.5399999996</v>
      </c>
      <c r="Z16" s="22">
        <f t="shared" si="1"/>
        <v>1307398.5399999996</v>
      </c>
    </row>
    <row r="17" spans="1:26" ht="14.25">
      <c r="A17" s="108">
        <v>44324</v>
      </c>
      <c r="B17" s="22">
        <f>+Total!C17-'Player Program'!C17</f>
        <v>16891261.55</v>
      </c>
      <c r="D17" s="22">
        <f>Total!E17-'Player Program'!E17</f>
        <v>14726366.11</v>
      </c>
      <c r="H17" s="22">
        <f>+Total!I17-'Player Program'!I17</f>
        <v>636134.01</v>
      </c>
      <c r="P17" s="22">
        <f>Total!Q17-'Player Program'!Q17</f>
        <v>158889.91</v>
      </c>
      <c r="R17" s="22">
        <f>Total!S17</f>
        <v>8500.5</v>
      </c>
      <c r="T17" s="22">
        <f>Total!U17-'Player Program'!S17</f>
        <v>120932.57</v>
      </c>
      <c r="V17" s="22">
        <f t="shared" si="0"/>
        <v>1240438.4500000014</v>
      </c>
      <c r="Z17" s="22">
        <f t="shared" si="1"/>
        <v>1240438.4500000014</v>
      </c>
    </row>
    <row r="18" spans="1:26" ht="14.25">
      <c r="A18" s="108">
        <v>44325</v>
      </c>
      <c r="B18" s="22">
        <f>+Total!C18-'Player Program'!C18</f>
        <v>15350506.760000002</v>
      </c>
      <c r="D18" s="22">
        <f>Total!E18-'Player Program'!E18</f>
        <v>13162330.950000001</v>
      </c>
      <c r="H18" s="22">
        <f>+Total!I18-'Player Program'!I18</f>
        <v>563837.39</v>
      </c>
      <c r="P18" s="22">
        <f>Total!Q18-'Player Program'!Q18</f>
        <v>146721.95</v>
      </c>
      <c r="R18" s="22">
        <f>Total!S18</f>
        <v>6777.84</v>
      </c>
      <c r="T18" s="22">
        <f>Total!U18-'Player Program'!S18</f>
        <v>114770.72</v>
      </c>
      <c r="V18" s="22">
        <f t="shared" si="0"/>
        <v>1356067.9100000004</v>
      </c>
      <c r="Z18" s="22">
        <f t="shared" si="1"/>
        <v>1356067.9100000004</v>
      </c>
    </row>
    <row r="19" spans="1:26" ht="14.25">
      <c r="A19" s="108">
        <v>44326</v>
      </c>
      <c r="B19" s="22">
        <f>+Total!C19-'Player Program'!C19</f>
        <v>9185873.860000001</v>
      </c>
      <c r="D19" s="22">
        <f>Total!E19-'Player Program'!E19</f>
        <v>7889293.899999999</v>
      </c>
      <c r="H19" s="22">
        <f>+Total!I19-'Player Program'!I19</f>
        <v>384092.32</v>
      </c>
      <c r="P19" s="22">
        <f>Total!Q19-'Player Program'!Q19</f>
        <v>89203.95000000001</v>
      </c>
      <c r="R19" s="22">
        <f>Total!S19</f>
        <v>7163.75</v>
      </c>
      <c r="T19" s="22">
        <f>Total!U19-'Player Program'!S19</f>
        <v>80095.25</v>
      </c>
      <c r="V19" s="22">
        <f t="shared" si="0"/>
        <v>736024.6900000018</v>
      </c>
      <c r="Z19" s="22">
        <f t="shared" si="1"/>
        <v>736024.6900000018</v>
      </c>
    </row>
    <row r="20" spans="1:26" ht="14.25">
      <c r="A20" s="108">
        <v>44327</v>
      </c>
      <c r="B20" s="22">
        <f>+Total!C20-'Player Program'!C20</f>
        <v>9075982.12</v>
      </c>
      <c r="D20" s="22">
        <f>Total!E20-'Player Program'!E20</f>
        <v>7844000.92</v>
      </c>
      <c r="H20" s="22">
        <f>+Total!I20-'Player Program'!I20</f>
        <v>424507.14</v>
      </c>
      <c r="P20" s="22">
        <f>Total!Q20-'Player Program'!Q20</f>
        <v>88168.18</v>
      </c>
      <c r="R20" s="22">
        <f>Total!S20</f>
        <v>4947.550000000001</v>
      </c>
      <c r="T20" s="22">
        <f>Total!U20-'Player Program'!S20</f>
        <v>91262.23</v>
      </c>
      <c r="V20" s="22">
        <f t="shared" si="0"/>
        <v>623096.0999999992</v>
      </c>
      <c r="Z20" s="22">
        <f t="shared" si="1"/>
        <v>623096.0999999992</v>
      </c>
    </row>
    <row r="21" spans="1:26" ht="14.25">
      <c r="A21" s="108">
        <v>44328</v>
      </c>
      <c r="B21" s="22">
        <f>+Total!C21-'Player Program'!C21</f>
        <v>9292742.65</v>
      </c>
      <c r="D21" s="22">
        <f>Total!E21-'Player Program'!E21</f>
        <v>8009512.159999999</v>
      </c>
      <c r="H21" s="22">
        <f>+Total!I21-'Player Program'!I21</f>
        <v>389380.69</v>
      </c>
      <c r="P21" s="22">
        <f>Total!Q21-'Player Program'!Q21</f>
        <v>86895.11000000002</v>
      </c>
      <c r="R21" s="22">
        <f>Total!S21</f>
        <v>8341.590000000002</v>
      </c>
      <c r="T21" s="22">
        <f>Total!U21-'Player Program'!S21</f>
        <v>77944.01999999999</v>
      </c>
      <c r="V21" s="22">
        <f t="shared" si="0"/>
        <v>720669.0800000012</v>
      </c>
      <c r="Z21" s="22">
        <f t="shared" si="1"/>
        <v>720669.0800000012</v>
      </c>
    </row>
    <row r="22" spans="1:26" ht="14.25">
      <c r="A22" s="108">
        <v>44329</v>
      </c>
      <c r="B22" s="22">
        <f>+Total!C22-'Player Program'!C22</f>
        <v>9315907.51</v>
      </c>
      <c r="D22" s="22">
        <f>Total!E22-'Player Program'!E22</f>
        <v>7946658.330000001</v>
      </c>
      <c r="H22" s="22">
        <f>+Total!I22-'Player Program'!I22</f>
        <v>354583.24</v>
      </c>
      <c r="P22" s="22">
        <f>Total!Q22-'Player Program'!Q22</f>
        <v>85522.7</v>
      </c>
      <c r="R22" s="22">
        <f>Total!S22</f>
        <v>10812.679999999998</v>
      </c>
      <c r="T22" s="22">
        <f>Total!U22-'Player Program'!S22</f>
        <v>77687.97</v>
      </c>
      <c r="V22" s="22">
        <f t="shared" si="0"/>
        <v>840642.5899999988</v>
      </c>
      <c r="Z22" s="22">
        <f t="shared" si="1"/>
        <v>840642.5899999988</v>
      </c>
    </row>
    <row r="23" spans="1:26" ht="14.25">
      <c r="A23" s="108">
        <v>44330</v>
      </c>
      <c r="B23" s="22">
        <f>+Total!C23-'Player Program'!C23</f>
        <v>15108048.41</v>
      </c>
      <c r="D23" s="22">
        <f>Total!E23-'Player Program'!E23</f>
        <v>12995491.955</v>
      </c>
      <c r="H23" s="22">
        <f>+Total!I23-'Player Program'!I23</f>
        <v>504606.12</v>
      </c>
      <c r="P23" s="22">
        <f>Total!Q23-'Player Program'!Q23</f>
        <v>143154.63</v>
      </c>
      <c r="R23" s="22">
        <f>Total!S23</f>
        <v>7415.3</v>
      </c>
      <c r="T23" s="22">
        <f>Total!U23-'Player Program'!S23</f>
        <v>96472.76</v>
      </c>
      <c r="V23" s="22">
        <f t="shared" si="0"/>
        <v>1360907.645</v>
      </c>
      <c r="Z23" s="22">
        <f t="shared" si="1"/>
        <v>1360907.645</v>
      </c>
    </row>
    <row r="24" spans="1:26" ht="14.25">
      <c r="A24" s="108">
        <v>44331</v>
      </c>
      <c r="B24" s="22">
        <f>+Total!C24-'Player Program'!C24</f>
        <v>18603894.24</v>
      </c>
      <c r="D24" s="22">
        <f>Total!E24-'Player Program'!E24</f>
        <v>16188428.45</v>
      </c>
      <c r="H24" s="22">
        <f>+Total!I24-'Player Program'!I24</f>
        <v>592421.41</v>
      </c>
      <c r="P24" s="22">
        <f>Total!Q24-'Player Program'!Q24</f>
        <v>176811.31</v>
      </c>
      <c r="R24" s="22">
        <f>Total!S24</f>
        <v>8075.02</v>
      </c>
      <c r="T24" s="22">
        <f>Total!U24-'Player Program'!S24</f>
        <v>114944.44</v>
      </c>
      <c r="V24" s="22">
        <f t="shared" si="0"/>
        <v>1523213.609999999</v>
      </c>
      <c r="Z24" s="22">
        <f t="shared" si="1"/>
        <v>1523213.609999999</v>
      </c>
    </row>
    <row r="25" spans="1:26" ht="14.25">
      <c r="A25" s="108">
        <v>44332</v>
      </c>
      <c r="B25" s="22">
        <f>+Total!C25-'Player Program'!C25</f>
        <v>13672905.159999998</v>
      </c>
      <c r="D25" s="22">
        <f>Total!E25-'Player Program'!E25</f>
        <v>11846248.78</v>
      </c>
      <c r="H25" s="22">
        <f>+Total!I25-'Player Program'!I25</f>
        <v>458866.88</v>
      </c>
      <c r="P25" s="22">
        <f>Total!Q25-'Player Program'!Q25</f>
        <v>125657.91000000002</v>
      </c>
      <c r="R25" s="22">
        <f>Total!S25</f>
        <v>6176.589999999999</v>
      </c>
      <c r="T25" s="22">
        <f>Total!U25-'Player Program'!S25</f>
        <v>103104.42</v>
      </c>
      <c r="V25" s="22">
        <f t="shared" si="0"/>
        <v>1132850.5799999991</v>
      </c>
      <c r="Z25" s="22">
        <f t="shared" si="1"/>
        <v>1132850.5799999991</v>
      </c>
    </row>
    <row r="26" spans="1:26" ht="14.25">
      <c r="A26" s="108">
        <v>44333</v>
      </c>
      <c r="B26" s="22">
        <f>+Total!C26-'Player Program'!C26</f>
        <v>9094166.020000001</v>
      </c>
      <c r="D26" s="22">
        <f>Total!E26-'Player Program'!E26</f>
        <v>7906258.890000001</v>
      </c>
      <c r="H26" s="22">
        <f>+Total!I26-'Player Program'!I26</f>
        <v>340966.62</v>
      </c>
      <c r="P26" s="22">
        <f>Total!Q26-'Player Program'!Q26</f>
        <v>85483.6</v>
      </c>
      <c r="R26" s="22">
        <f>Total!S26</f>
        <v>6367.76</v>
      </c>
      <c r="T26" s="22">
        <f>Total!U26-'Player Program'!S26</f>
        <v>70723.68</v>
      </c>
      <c r="V26" s="22">
        <f t="shared" si="0"/>
        <v>684365.4700000009</v>
      </c>
      <c r="Z26" s="22">
        <f t="shared" si="1"/>
        <v>684365.4700000009</v>
      </c>
    </row>
    <row r="27" spans="1:26" ht="14.25">
      <c r="A27" s="108">
        <v>44334</v>
      </c>
      <c r="B27" s="22">
        <f>+Total!C27-'Player Program'!C27</f>
        <v>8220011.37</v>
      </c>
      <c r="D27" s="22">
        <f>Total!E27-'Player Program'!E27</f>
        <v>7022215.1899999995</v>
      </c>
      <c r="H27" s="22">
        <f>+Total!I27-'Player Program'!I27</f>
        <v>328837.56</v>
      </c>
      <c r="P27" s="22">
        <f>Total!Q27-'Player Program'!Q27</f>
        <v>78755.1</v>
      </c>
      <c r="R27" s="22">
        <f>Total!S27</f>
        <v>6170.869999999999</v>
      </c>
      <c r="T27" s="22">
        <f>Total!U27-'Player Program'!S27</f>
        <v>66540.87</v>
      </c>
      <c r="V27" s="22">
        <f t="shared" si="0"/>
        <v>717491.7800000006</v>
      </c>
      <c r="Z27" s="22">
        <f t="shared" si="1"/>
        <v>717491.7800000006</v>
      </c>
    </row>
    <row r="28" spans="1:26" ht="14.25">
      <c r="A28" s="108">
        <v>44335</v>
      </c>
      <c r="B28" s="22">
        <f>+Total!C28-'Player Program'!C28</f>
        <v>9086062.86</v>
      </c>
      <c r="D28" s="22">
        <f>Total!E28-'Player Program'!E28</f>
        <v>7758466.19</v>
      </c>
      <c r="H28" s="22">
        <f>+Total!I28-'Player Program'!I28</f>
        <v>378922.32</v>
      </c>
      <c r="P28" s="22">
        <f>Total!Q28-'Player Program'!Q28</f>
        <v>81204.77999999998</v>
      </c>
      <c r="R28" s="22">
        <f>Total!S28</f>
        <v>11463.57</v>
      </c>
      <c r="T28" s="22">
        <f>Total!U28-'Player Program'!S28</f>
        <v>64860.34</v>
      </c>
      <c r="V28" s="22">
        <f t="shared" si="0"/>
        <v>791145.659999999</v>
      </c>
      <c r="Z28" s="22">
        <f t="shared" si="1"/>
        <v>791145.659999999</v>
      </c>
    </row>
    <row r="29" spans="1:26" ht="14.25">
      <c r="A29" s="108">
        <v>44336</v>
      </c>
      <c r="B29" s="22">
        <f>+Total!C29-'Player Program'!C29</f>
        <v>9063107.790000001</v>
      </c>
      <c r="D29" s="22">
        <f>Total!E29-'Player Program'!E29</f>
        <v>7712712.26</v>
      </c>
      <c r="H29" s="22">
        <f>+Total!I29-'Player Program'!I29</f>
        <v>317556.12</v>
      </c>
      <c r="P29" s="22">
        <f>Total!Q29-'Player Program'!Q29</f>
        <v>77028.78</v>
      </c>
      <c r="R29" s="22">
        <f>Total!S29</f>
        <v>12097.829999999998</v>
      </c>
      <c r="T29" s="22">
        <f>Total!U29-'Player Program'!S29</f>
        <v>66842.71</v>
      </c>
      <c r="V29" s="22">
        <f t="shared" si="0"/>
        <v>876870.0900000012</v>
      </c>
      <c r="Z29" s="22">
        <f t="shared" si="1"/>
        <v>876870.0900000012</v>
      </c>
    </row>
    <row r="30" spans="1:26" ht="14.25">
      <c r="A30" s="108">
        <v>44337</v>
      </c>
      <c r="B30" s="22">
        <f>+Total!C30-'Player Program'!C30</f>
        <v>14816906.559999999</v>
      </c>
      <c r="D30" s="22">
        <f>Total!E30-'Player Program'!E30</f>
        <v>12777960.59</v>
      </c>
      <c r="H30" s="22">
        <f>+Total!I30-'Player Program'!I30</f>
        <v>544156.77</v>
      </c>
      <c r="P30" s="22">
        <f>Total!Q30-'Player Program'!Q30</f>
        <v>131761.88</v>
      </c>
      <c r="R30" s="22">
        <f>Total!S30</f>
        <v>9113.019999999999</v>
      </c>
      <c r="T30" s="22">
        <f>Total!U30-'Player Program'!S30</f>
        <v>107412.96</v>
      </c>
      <c r="V30" s="22">
        <f t="shared" si="0"/>
        <v>1246501.339999999</v>
      </c>
      <c r="Z30" s="22">
        <f t="shared" si="1"/>
        <v>1246501.339999999</v>
      </c>
    </row>
    <row r="31" spans="1:26" ht="14.25">
      <c r="A31" s="108">
        <v>44338</v>
      </c>
      <c r="B31" s="22">
        <f>+Total!C31-'Player Program'!C31</f>
        <v>18237771.54</v>
      </c>
      <c r="D31" s="22">
        <f>Total!E31-'Player Program'!E31</f>
        <v>15594111.85</v>
      </c>
      <c r="H31" s="22">
        <f>+Total!I31-'Player Program'!I31</f>
        <v>767734.23</v>
      </c>
      <c r="P31" s="22">
        <f>Total!Q31-'Player Program'!Q31</f>
        <v>177816.66999999998</v>
      </c>
      <c r="R31" s="22">
        <f>Total!S31</f>
        <v>6517.01</v>
      </c>
      <c r="T31" s="22">
        <f>Total!U31-'Player Program'!S31</f>
        <v>144602.83000000002</v>
      </c>
      <c r="V31" s="22">
        <f t="shared" si="0"/>
        <v>1546988.9499999995</v>
      </c>
      <c r="Z31" s="22">
        <f t="shared" si="1"/>
        <v>1546988.9499999995</v>
      </c>
    </row>
    <row r="32" spans="1:26" ht="14.25">
      <c r="A32" s="108">
        <v>44339</v>
      </c>
      <c r="B32" s="22">
        <f>+Total!C32-'Player Program'!C32</f>
        <v>14534329.049999999</v>
      </c>
      <c r="D32" s="22">
        <f>Total!E32-'Player Program'!E32</f>
        <v>12527550.02</v>
      </c>
      <c r="H32" s="22">
        <f>+Total!I32-'Player Program'!I32</f>
        <v>480317.28</v>
      </c>
      <c r="P32" s="22">
        <f>Total!Q32-'Player Program'!Q32</f>
        <v>142715.09</v>
      </c>
      <c r="R32" s="22">
        <f>Total!S32</f>
        <v>5050.66</v>
      </c>
      <c r="T32" s="22">
        <f>Total!U32-'Player Program'!S32</f>
        <v>79384.23999999999</v>
      </c>
      <c r="V32" s="22">
        <f t="shared" si="0"/>
        <v>1299311.7599999993</v>
      </c>
      <c r="Z32" s="22">
        <f t="shared" si="1"/>
        <v>1299311.7599999993</v>
      </c>
    </row>
    <row r="33" spans="1:26" ht="14.25">
      <c r="A33" s="108">
        <v>44340</v>
      </c>
      <c r="B33" s="22">
        <f>+Total!C33-'Player Program'!C33</f>
        <v>9578489.84</v>
      </c>
      <c r="D33" s="22">
        <f>Total!E33-'Player Program'!E33</f>
        <v>8266769.2700000005</v>
      </c>
      <c r="H33" s="22">
        <f>+Total!I33-'Player Program'!I33</f>
        <v>347935.61</v>
      </c>
      <c r="P33" s="22">
        <f>Total!Q33-'Player Program'!Q33</f>
        <v>98932.22</v>
      </c>
      <c r="R33" s="22">
        <f>Total!S33</f>
        <v>5361.449999999998</v>
      </c>
      <c r="T33" s="22">
        <f>Total!U33-'Player Program'!S33</f>
        <v>92494.98</v>
      </c>
      <c r="V33" s="22">
        <f t="shared" si="0"/>
        <v>766996.3099999995</v>
      </c>
      <c r="Z33" s="22">
        <f t="shared" si="1"/>
        <v>766996.3099999995</v>
      </c>
    </row>
    <row r="34" spans="1:26" ht="14.25">
      <c r="A34" s="108">
        <v>44341</v>
      </c>
      <c r="B34" s="22">
        <f>+Total!C34-'Player Program'!C34</f>
        <v>6343222.81</v>
      </c>
      <c r="D34" s="22">
        <f>Total!E34-'Player Program'!E34</f>
        <v>5502913.1</v>
      </c>
      <c r="H34" s="22">
        <f>+Total!I34-'Player Program'!I34</f>
        <v>210784.16</v>
      </c>
      <c r="P34" s="22">
        <f>Total!Q34-'Player Program'!Q34</f>
        <v>57718.97</v>
      </c>
      <c r="R34" s="22">
        <f>Total!S34</f>
        <v>4917.24</v>
      </c>
      <c r="T34" s="22">
        <f>Total!U34-'Player Program'!S34</f>
        <v>54646.06</v>
      </c>
      <c r="V34" s="22">
        <f t="shared" si="0"/>
        <v>512243.27999999997</v>
      </c>
      <c r="Z34" s="22">
        <f t="shared" si="1"/>
        <v>512243.27999999997</v>
      </c>
    </row>
    <row r="35" spans="1:26" ht="14.25">
      <c r="A35" s="108">
        <v>44342</v>
      </c>
      <c r="B35" s="22">
        <f>+Total!C35-'Player Program'!C35</f>
        <v>8062047.890000001</v>
      </c>
      <c r="D35" s="22">
        <f>Total!E35-'Player Program'!E35</f>
        <v>6998729.73</v>
      </c>
      <c r="H35" s="22">
        <f>+Total!I35-'Player Program'!I35</f>
        <v>311928.31</v>
      </c>
      <c r="P35" s="22">
        <f>Total!Q35-'Player Program'!Q35</f>
        <v>71622.06999999999</v>
      </c>
      <c r="R35" s="22">
        <f>Total!S35</f>
        <v>10942.750000000002</v>
      </c>
      <c r="T35" s="22">
        <f>Total!U35-'Player Program'!S35</f>
        <v>58919.8</v>
      </c>
      <c r="V35" s="22">
        <f t="shared" si="0"/>
        <v>609905.2300000001</v>
      </c>
      <c r="Z35" s="22">
        <f t="shared" si="1"/>
        <v>609905.2300000001</v>
      </c>
    </row>
    <row r="36" spans="1:26" ht="14.25">
      <c r="A36" s="108">
        <v>44343</v>
      </c>
      <c r="B36" s="22">
        <f>+Total!C36-'Player Program'!C36</f>
        <v>3476238.96</v>
      </c>
      <c r="D36" s="22">
        <f>Total!E36-'Player Program'!E36</f>
        <v>2959622.4699999997</v>
      </c>
      <c r="H36" s="22">
        <f>+Total!I36-'Player Program'!I36</f>
        <v>117774.19</v>
      </c>
      <c r="P36" s="22">
        <f>Total!Q36-'Player Program'!Q36</f>
        <v>21243.77</v>
      </c>
      <c r="R36" s="22">
        <f>Total!S36</f>
        <v>13579.73</v>
      </c>
      <c r="T36" s="22">
        <f>Total!U36-'Player Program'!S36</f>
        <v>51762.89</v>
      </c>
      <c r="V36" s="22">
        <f t="shared" si="0"/>
        <v>312255.9100000002</v>
      </c>
      <c r="Z36" s="22">
        <f t="shared" si="1"/>
        <v>312255.9100000002</v>
      </c>
    </row>
    <row r="37" spans="1:26" ht="14.25">
      <c r="A37" s="108">
        <v>44344</v>
      </c>
      <c r="B37" s="22">
        <f>+Total!C37-'Player Program'!C37</f>
        <v>5509.27</v>
      </c>
      <c r="D37" s="22">
        <f>Total!E37-'Player Program'!E37</f>
        <v>4085.97</v>
      </c>
      <c r="H37" s="22">
        <f>+Total!I37-'Player Program'!I37</f>
        <v>0</v>
      </c>
      <c r="P37" s="22">
        <f>Total!Q37-'Player Program'!Q37</f>
        <v>-8717.22</v>
      </c>
      <c r="R37" s="22">
        <f>Total!S37</f>
        <v>8760.51</v>
      </c>
      <c r="T37" s="22">
        <f>Total!U37-'Player Program'!S37</f>
        <v>332.36</v>
      </c>
      <c r="V37" s="22">
        <f t="shared" si="0"/>
        <v>1047.65</v>
      </c>
      <c r="Z37" s="22">
        <f t="shared" si="1"/>
        <v>1047.65</v>
      </c>
    </row>
    <row r="38" spans="1:26" ht="14.25">
      <c r="A38" s="108">
        <v>44345</v>
      </c>
      <c r="B38" s="22">
        <f>+Total!C38-'Player Program'!C38</f>
        <v>0</v>
      </c>
      <c r="D38" s="22">
        <f>Total!E38-'Player Program'!E38</f>
        <v>0</v>
      </c>
      <c r="H38" s="22">
        <f>+Total!I38-'Player Program'!I38</f>
        <v>0</v>
      </c>
      <c r="P38" s="22">
        <f>Total!Q38-'Player Program'!Q38</f>
        <v>-5273.459999999999</v>
      </c>
      <c r="R38" s="22">
        <f>Total!S38</f>
        <v>5273.459999999999</v>
      </c>
      <c r="T38" s="22">
        <f>Total!U38-'Player Program'!S38</f>
        <v>0</v>
      </c>
      <c r="V38" s="22">
        <f t="shared" si="0"/>
        <v>0</v>
      </c>
      <c r="Z38" s="22">
        <f t="shared" si="1"/>
        <v>0</v>
      </c>
    </row>
    <row r="39" spans="1:26" ht="14.25">
      <c r="A39" s="108">
        <v>44346</v>
      </c>
      <c r="B39" s="22">
        <f>+Total!C39-'Player Program'!C39</f>
        <v>0</v>
      </c>
      <c r="D39" s="22">
        <f>Total!E39-'Player Program'!E39</f>
        <v>0</v>
      </c>
      <c r="H39" s="22">
        <f>+Total!I39-'Player Program'!I39</f>
        <v>0</v>
      </c>
      <c r="P39" s="22">
        <f>Total!Q39-'Player Program'!Q39</f>
        <v>-7266.53</v>
      </c>
      <c r="R39" s="22">
        <f>Total!S39</f>
        <v>7266.53</v>
      </c>
      <c r="T39" s="22">
        <f>Total!U39-'Player Program'!S39</f>
        <v>0</v>
      </c>
      <c r="V39" s="22">
        <f t="shared" si="0"/>
        <v>0</v>
      </c>
      <c r="Z39" s="22">
        <f t="shared" si="1"/>
        <v>0</v>
      </c>
    </row>
    <row r="40" spans="1:26" ht="14.25">
      <c r="A40" s="108">
        <v>44347</v>
      </c>
      <c r="B40" s="22">
        <f>+Total!C40-'Player Program'!C40</f>
        <v>0</v>
      </c>
      <c r="D40" s="22">
        <f>Total!E40-'Player Program'!E40</f>
        <v>0</v>
      </c>
      <c r="H40" s="22">
        <f>+Total!I40-'Player Program'!I40</f>
        <v>0</v>
      </c>
      <c r="P40" s="22">
        <f>Total!Q40-'Player Program'!Q40</f>
        <v>-8899.02</v>
      </c>
      <c r="R40" s="22">
        <f>Total!S40</f>
        <v>8899.02</v>
      </c>
      <c r="T40" s="22">
        <f>Total!U40-'Player Program'!S40</f>
        <v>0</v>
      </c>
      <c r="V40" s="22">
        <f>B40-D40-H40-P40-R40-T40</f>
        <v>0</v>
      </c>
      <c r="Z40" s="22">
        <f>V40</f>
        <v>0</v>
      </c>
    </row>
    <row r="41" spans="1:26" ht="14.25">
      <c r="A41" s="114" t="s">
        <v>31</v>
      </c>
      <c r="B41" s="128">
        <f>SUM(B10:B40)</f>
        <v>309323337.9599999</v>
      </c>
      <c r="C41" s="128"/>
      <c r="D41" s="128">
        <f>SUM(D10:D40)</f>
        <v>266899968.89499998</v>
      </c>
      <c r="E41" s="128"/>
      <c r="F41" s="128"/>
      <c r="G41" s="128"/>
      <c r="H41" s="128">
        <f>SUM(H10:H40)</f>
        <v>11448326.299999999</v>
      </c>
      <c r="I41" s="128"/>
      <c r="J41" s="128"/>
      <c r="K41" s="128"/>
      <c r="L41" s="128"/>
      <c r="M41" s="128"/>
      <c r="N41" s="128"/>
      <c r="O41" s="128"/>
      <c r="P41" s="128">
        <f>SUM(P10:P40)</f>
        <v>2866242.98</v>
      </c>
      <c r="Q41" s="128"/>
      <c r="R41" s="128">
        <f>SUM(R10:R40)</f>
        <v>253731.37</v>
      </c>
      <c r="S41" s="128"/>
      <c r="T41" s="128">
        <f>SUM(T10:T40)</f>
        <v>2393830.0799999996</v>
      </c>
      <c r="U41" s="128"/>
      <c r="V41" s="128">
        <f>SUM(V10:V40)</f>
        <v>25461238.334999997</v>
      </c>
      <c r="Y41" s="131"/>
      <c r="Z41" s="128">
        <f t="shared" si="1"/>
        <v>25461238.334999997</v>
      </c>
    </row>
    <row r="42" ht="14.25">
      <c r="A42" s="116"/>
    </row>
    <row r="43" ht="14.25">
      <c r="A43" s="119"/>
    </row>
    <row r="44" ht="14.25">
      <c r="A44" s="107"/>
    </row>
    <row r="45" ht="15" thickBot="1">
      <c r="A45" s="120" t="s">
        <v>52</v>
      </c>
    </row>
    <row r="46" ht="15" thickTop="1">
      <c r="A46" s="39"/>
    </row>
    <row r="47" spans="1:26" ht="15">
      <c r="A47" s="146" t="s">
        <v>53</v>
      </c>
      <c r="B47" s="64">
        <v>754.5</v>
      </c>
      <c r="C47" s="64"/>
      <c r="D47" s="64">
        <v>443</v>
      </c>
      <c r="E47" s="147"/>
      <c r="F47" s="147"/>
      <c r="G47" s="147"/>
      <c r="H47" s="150"/>
      <c r="I47" s="147"/>
      <c r="J47" s="147"/>
      <c r="K47" s="147"/>
      <c r="L47" s="147"/>
      <c r="M47" s="147"/>
      <c r="N47" s="147"/>
      <c r="O47" s="147"/>
      <c r="P47" s="148"/>
      <c r="Q47" s="147"/>
      <c r="R47" s="147">
        <v>0.6</v>
      </c>
      <c r="S47" s="147"/>
      <c r="T47" s="147"/>
      <c r="U47" s="147"/>
      <c r="V47" s="148">
        <f>B47-D47-H47-P47-R47-T47+9.49</f>
        <v>320.39</v>
      </c>
      <c r="Z47" s="22">
        <f>V47</f>
        <v>320.39</v>
      </c>
    </row>
    <row r="48" spans="1:26" ht="14.25">
      <c r="A48" s="146" t="s">
        <v>58</v>
      </c>
      <c r="B48" s="154"/>
      <c r="C48" s="155"/>
      <c r="D48" s="154"/>
      <c r="E48" s="154"/>
      <c r="F48" s="154"/>
      <c r="G48" s="154"/>
      <c r="H48" s="154"/>
      <c r="I48" s="149"/>
      <c r="J48" s="149"/>
      <c r="K48" s="149"/>
      <c r="L48" s="149"/>
      <c r="M48" s="149"/>
      <c r="N48" s="149"/>
      <c r="O48" s="149"/>
      <c r="P48" s="149"/>
      <c r="Q48" s="149"/>
      <c r="R48" s="154"/>
      <c r="S48" s="154"/>
      <c r="T48" s="154"/>
      <c r="U48" s="149"/>
      <c r="V48" s="148"/>
      <c r="Z48" s="22">
        <f>V48</f>
        <v>0</v>
      </c>
    </row>
    <row r="49" spans="1:26" ht="15">
      <c r="A49" s="146"/>
      <c r="V49" s="151"/>
      <c r="Z49" s="22">
        <f>V49</f>
        <v>0</v>
      </c>
    </row>
    <row r="50" spans="1:26" ht="15">
      <c r="A50" s="146"/>
      <c r="V50" s="151"/>
      <c r="Z50" s="22">
        <f>V50</f>
        <v>0</v>
      </c>
    </row>
    <row r="51" ht="14.25">
      <c r="A51" s="39"/>
    </row>
    <row r="52" spans="1:26" ht="14.25">
      <c r="A52" s="123" t="s">
        <v>54</v>
      </c>
      <c r="B52" s="22">
        <f>+B41+B47+B48</f>
        <v>309324092.4599999</v>
      </c>
      <c r="C52" s="22">
        <f aca="true" t="shared" si="2" ref="C52:U52">+C41+C47-C48</f>
        <v>0</v>
      </c>
      <c r="D52" s="22">
        <f>+D41+D47+D48</f>
        <v>266900411.89499998</v>
      </c>
      <c r="E52" s="22">
        <f t="shared" si="2"/>
        <v>0</v>
      </c>
      <c r="F52" s="22">
        <f t="shared" si="2"/>
        <v>0</v>
      </c>
      <c r="G52" s="22">
        <f t="shared" si="2"/>
        <v>0</v>
      </c>
      <c r="H52" s="22">
        <f>+H41+H47+H48</f>
        <v>11448326.299999999</v>
      </c>
      <c r="I52" s="22">
        <f t="shared" si="2"/>
        <v>0</v>
      </c>
      <c r="J52" s="22">
        <f t="shared" si="2"/>
        <v>0</v>
      </c>
      <c r="K52" s="22">
        <f t="shared" si="2"/>
        <v>0</v>
      </c>
      <c r="L52" s="22">
        <f t="shared" si="2"/>
        <v>0</v>
      </c>
      <c r="M52" s="22">
        <f t="shared" si="2"/>
        <v>0</v>
      </c>
      <c r="N52" s="22">
        <f t="shared" si="2"/>
        <v>0</v>
      </c>
      <c r="O52" s="22">
        <f t="shared" si="2"/>
        <v>0</v>
      </c>
      <c r="P52" s="22">
        <f>+P41+P47+P48</f>
        <v>2866242.98</v>
      </c>
      <c r="Q52" s="22">
        <f t="shared" si="2"/>
        <v>0</v>
      </c>
      <c r="R52" s="22">
        <f>+R41+R47+R48</f>
        <v>253731.97</v>
      </c>
      <c r="S52" s="22">
        <f t="shared" si="2"/>
        <v>0</v>
      </c>
      <c r="T52" s="22">
        <f>+T41+T47+T48</f>
        <v>2393830.0799999996</v>
      </c>
      <c r="U52" s="22">
        <f t="shared" si="2"/>
        <v>0</v>
      </c>
      <c r="V52" s="22">
        <f>V41+V47+V48+V49+V50</f>
        <v>25461558.724999998</v>
      </c>
      <c r="Z52" s="22">
        <f>V52</f>
        <v>25461558.724999998</v>
      </c>
    </row>
    <row r="53" ht="14.25">
      <c r="A53" s="39"/>
    </row>
    <row r="54" spans="1:26" ht="15" thickBot="1">
      <c r="A54" s="76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Y54" s="130"/>
      <c r="Z54" s="130"/>
    </row>
    <row r="55" ht="15" thickTop="1"/>
    <row r="57" spans="1:26" ht="14.25">
      <c r="A57" s="80" t="s">
        <v>34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79"/>
      <c r="Q57" s="39"/>
      <c r="R57" s="39"/>
      <c r="S57" s="39"/>
      <c r="T57" s="39"/>
      <c r="U57" s="39"/>
      <c r="V57" s="79"/>
      <c r="W57" s="39"/>
      <c r="X57" s="41"/>
      <c r="Y57" s="39"/>
      <c r="Z57" s="39"/>
    </row>
    <row r="58" spans="1:26" ht="14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79"/>
      <c r="Q58" s="39"/>
      <c r="R58" s="39"/>
      <c r="S58" s="39"/>
      <c r="T58" s="39"/>
      <c r="U58" s="39"/>
      <c r="V58" s="79"/>
      <c r="W58" s="39"/>
      <c r="X58" s="41"/>
      <c r="Y58" s="39"/>
      <c r="Z58" s="39"/>
    </row>
    <row r="59" spans="1:26" ht="14.25">
      <c r="A59" s="39" t="s">
        <v>35</v>
      </c>
      <c r="B59" s="81">
        <v>0.3157</v>
      </c>
      <c r="C59" s="3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3"/>
      <c r="Q59" s="41"/>
      <c r="R59" s="41"/>
      <c r="S59" s="41"/>
      <c r="T59" s="41"/>
      <c r="U59" s="41"/>
      <c r="V59" s="43"/>
      <c r="W59" s="41"/>
      <c r="X59" s="41"/>
      <c r="Y59" s="41"/>
      <c r="Z59" s="132">
        <f>Z52*B59</f>
        <v>8038214.089482498</v>
      </c>
    </row>
    <row r="60" spans="1:26" ht="14.25">
      <c r="A60" s="39" t="s">
        <v>36</v>
      </c>
      <c r="B60" s="81">
        <v>0.01</v>
      </c>
      <c r="C60" s="39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3"/>
      <c r="Q60" s="41"/>
      <c r="R60" s="41"/>
      <c r="S60" s="41"/>
      <c r="T60" s="41"/>
      <c r="U60" s="41"/>
      <c r="V60" s="43"/>
      <c r="W60" s="41"/>
      <c r="X60" s="41"/>
      <c r="Y60" s="41"/>
      <c r="Z60" s="132">
        <f>Z52*B60</f>
        <v>254615.58724999998</v>
      </c>
    </row>
    <row r="61" spans="1:26" ht="14.25">
      <c r="A61" s="39"/>
      <c r="B61" s="39"/>
      <c r="C61" s="39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3"/>
      <c r="Q61" s="41"/>
      <c r="R61" s="41"/>
      <c r="S61" s="41"/>
      <c r="T61" s="41"/>
      <c r="U61" s="41"/>
      <c r="V61" s="43"/>
      <c r="W61" s="41"/>
      <c r="X61" s="41"/>
      <c r="Y61" s="41"/>
      <c r="Z61" s="41"/>
    </row>
    <row r="62" spans="1:26" ht="15" thickBot="1">
      <c r="A62" s="76" t="s">
        <v>37</v>
      </c>
      <c r="B62" s="82">
        <f>SUM(B59:B61)</f>
        <v>0.3257</v>
      </c>
      <c r="C62" s="76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8"/>
      <c r="Q62" s="77"/>
      <c r="R62" s="77"/>
      <c r="S62" s="77"/>
      <c r="T62" s="77"/>
      <c r="U62" s="77"/>
      <c r="V62" s="78"/>
      <c r="W62" s="77"/>
      <c r="X62" s="77"/>
      <c r="Y62" s="77"/>
      <c r="Z62" s="77"/>
    </row>
    <row r="63" ht="15" thickTop="1">
      <c r="A63" s="39"/>
    </row>
    <row r="64" ht="14.25">
      <c r="A64" s="84"/>
    </row>
    <row r="65" ht="14.25">
      <c r="A65" s="39"/>
    </row>
    <row r="66" ht="14.25">
      <c r="A66" s="39"/>
    </row>
    <row r="67" ht="14.25">
      <c r="A67" s="40"/>
    </row>
    <row r="68" ht="14.25">
      <c r="A68" s="40"/>
    </row>
    <row r="69" ht="14.25">
      <c r="A69" s="40"/>
    </row>
    <row r="70" ht="14.25">
      <c r="A70" s="40"/>
    </row>
    <row r="71" ht="14.25">
      <c r="A71" s="40"/>
    </row>
    <row r="72" ht="14.25">
      <c r="A72" s="40"/>
    </row>
    <row r="73" ht="14.25">
      <c r="A73" s="40"/>
    </row>
    <row r="74" ht="14.25">
      <c r="A74" s="40"/>
    </row>
    <row r="75" ht="14.25">
      <c r="A75" s="40"/>
    </row>
    <row r="76" ht="14.25">
      <c r="A76" s="40"/>
    </row>
    <row r="77" ht="14.25">
      <c r="A77" s="40"/>
    </row>
    <row r="78" ht="14.25">
      <c r="A78" s="40"/>
    </row>
    <row r="79" ht="14.25">
      <c r="A79" s="40"/>
    </row>
    <row r="80" ht="14.25">
      <c r="A80" s="40"/>
    </row>
    <row r="81" ht="14.25">
      <c r="A81" s="40"/>
    </row>
    <row r="82" ht="14.25">
      <c r="A82" s="40"/>
    </row>
    <row r="83" ht="14.25">
      <c r="A83" s="40"/>
    </row>
    <row r="84" ht="14.25">
      <c r="A84" s="40"/>
    </row>
    <row r="85" ht="14.25">
      <c r="A85" s="40"/>
    </row>
    <row r="86" ht="14.25">
      <c r="A86" s="40"/>
    </row>
    <row r="87" ht="14.25">
      <c r="A87" s="40"/>
    </row>
    <row r="88" ht="14.25">
      <c r="A88" s="40"/>
    </row>
    <row r="89" ht="14.25">
      <c r="A89" s="40"/>
    </row>
    <row r="90" ht="14.25">
      <c r="A90" s="40"/>
    </row>
    <row r="91" ht="14.25">
      <c r="A91" s="40"/>
    </row>
    <row r="92" ht="14.25">
      <c r="A92" s="40"/>
    </row>
    <row r="93" ht="14.25">
      <c r="A93" s="40"/>
    </row>
    <row r="94" ht="14.25">
      <c r="A94" s="40"/>
    </row>
    <row r="95" ht="14.25">
      <c r="A95" s="40"/>
    </row>
    <row r="96" ht="14.25">
      <c r="A96" s="40"/>
    </row>
    <row r="97" ht="14.25">
      <c r="A97" s="40"/>
    </row>
  </sheetData>
  <sheetProtection/>
  <mergeCells count="3">
    <mergeCell ref="B1:Y1"/>
    <mergeCell ref="B2:Y2"/>
    <mergeCell ref="B3:Y3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2021-08-03T06:47:07Z</dcterms:created>
  <dcterms:modified xsi:type="dcterms:W3CDTF">2021-08-03T06:47:33Z</dcterms:modified>
  <cp:category/>
  <cp:version/>
  <cp:contentType/>
  <cp:contentStatus/>
</cp:coreProperties>
</file>