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9.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450"/>
  </bookViews>
  <sheets>
    <sheet name="Slots" sheetId="1" r:id="rId1"/>
    <sheet name="Local Tables" sheetId="2" r:id="rId2"/>
    <sheet name="International Tables" sheetId="3" r:id="rId3"/>
    <sheet name="Domestic Tables" sheetId="4" r:id="rId4"/>
    <sheet name="MM Summary"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3">'Domestic Tables'!$B$2:$I$19</definedName>
    <definedName name="_xlnm.Print_Area" localSheetId="2">'International Tables'!$B$2:$I$31</definedName>
    <definedName name="_xlnm.Print_Area" localSheetId="1">'Local Tables'!$B$2:$I$21</definedName>
    <definedName name="_xlnm.Print_Area" localSheetId="0">Slots!$B$2:$I$38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G11" i="1"/>
  <c r="F11" i="1"/>
  <c r="E11" i="1"/>
  <c r="D11" i="1"/>
  <c r="H12" i="1"/>
  <c r="G12" i="1"/>
  <c r="F12" i="1"/>
  <c r="E12" i="1"/>
  <c r="D12" i="1"/>
  <c r="H18" i="1"/>
  <c r="G18" i="1"/>
  <c r="F18" i="1"/>
  <c r="E18" i="1"/>
  <c r="D18" i="1"/>
  <c r="H13" i="1"/>
  <c r="G13" i="1"/>
  <c r="F13" i="1"/>
  <c r="E13" i="1"/>
  <c r="D13" i="1"/>
  <c r="H9" i="1"/>
  <c r="H8" i="1"/>
  <c r="G9" i="1" l="1"/>
  <c r="G8" i="1"/>
  <c r="F9" i="1" l="1"/>
  <c r="F8" i="1"/>
  <c r="E9" i="1" l="1"/>
  <c r="E8" i="1"/>
  <c r="D9" i="1" l="1"/>
  <c r="D8" i="1"/>
  <c r="H6" i="1" l="1"/>
  <c r="H5" i="1"/>
  <c r="G6" i="1"/>
  <c r="G5" i="1"/>
  <c r="F6" i="1"/>
  <c r="F5" i="1"/>
  <c r="E6" i="1"/>
  <c r="E5" i="1"/>
  <c r="D6" i="1"/>
  <c r="D5" i="1"/>
  <c r="K7" i="5" l="1"/>
  <c r="L7" i="5"/>
  <c r="M7" i="5"/>
  <c r="N7" i="5"/>
  <c r="K8" i="5"/>
  <c r="L8" i="5"/>
  <c r="M8" i="5"/>
  <c r="N8" i="5"/>
  <c r="J8" i="5"/>
  <c r="J7" i="5"/>
  <c r="G9" i="5" l="1"/>
  <c r="F9" i="5"/>
  <c r="E9" i="5"/>
  <c r="D9" i="5"/>
  <c r="G12" i="5"/>
  <c r="F12" i="5"/>
  <c r="E12" i="5"/>
  <c r="D12" i="5"/>
  <c r="C12" i="5"/>
  <c r="C9" i="5"/>
  <c r="G6" i="5"/>
  <c r="F6" i="5"/>
  <c r="E6" i="5"/>
  <c r="D6" i="5"/>
  <c r="C6" i="5"/>
  <c r="P8" i="1" l="1"/>
  <c r="G16" i="5" s="1"/>
  <c r="K16" i="1"/>
  <c r="Q16" i="2" l="1"/>
  <c r="P16" i="2"/>
  <c r="O16" i="2"/>
  <c r="N16" i="2"/>
  <c r="M16" i="2"/>
  <c r="Q8" i="2"/>
  <c r="P8" i="2"/>
  <c r="O8" i="2"/>
  <c r="N8" i="2"/>
  <c r="M8" i="2"/>
  <c r="Q6" i="2"/>
  <c r="P6" i="2"/>
  <c r="O6" i="2"/>
  <c r="N6" i="2"/>
  <c r="M6" i="2"/>
  <c r="Q5" i="2"/>
  <c r="P5" i="2"/>
  <c r="O5" i="2"/>
  <c r="N5" i="2"/>
  <c r="M5" i="2"/>
  <c r="L15" i="2"/>
  <c r="Q14" i="2"/>
  <c r="N14" i="5" s="1"/>
  <c r="P14" i="2"/>
  <c r="O14" i="2"/>
  <c r="L14" i="5" s="1"/>
  <c r="N14" i="2"/>
  <c r="K14" i="5" s="1"/>
  <c r="M14" i="2"/>
  <c r="J14" i="5" s="1"/>
  <c r="Q13" i="2"/>
  <c r="N11" i="5" s="1"/>
  <c r="P13" i="2"/>
  <c r="M11" i="5" s="1"/>
  <c r="O13" i="2"/>
  <c r="L11" i="5" s="1"/>
  <c r="N13" i="2"/>
  <c r="K11" i="5" s="1"/>
  <c r="M13" i="2"/>
  <c r="J11" i="5" s="1"/>
  <c r="Q12" i="2"/>
  <c r="N6" i="5" s="1"/>
  <c r="P12" i="2"/>
  <c r="O12" i="2"/>
  <c r="N12" i="2"/>
  <c r="M12" i="2"/>
  <c r="J6" i="5" s="1"/>
  <c r="N7" i="2"/>
  <c r="R6" i="2"/>
  <c r="Q7" i="2" s="1"/>
  <c r="N15" i="2" l="1"/>
  <c r="K6" i="5"/>
  <c r="O15" i="2"/>
  <c r="L6" i="5"/>
  <c r="R14" i="2"/>
  <c r="M14" i="5"/>
  <c r="R13" i="2"/>
  <c r="R12" i="2"/>
  <c r="P15" i="2"/>
  <c r="M6" i="5"/>
  <c r="Q15" i="2"/>
  <c r="P17" i="2"/>
  <c r="O7" i="2"/>
  <c r="P7" i="2"/>
  <c r="R5" i="2"/>
  <c r="M7" i="2"/>
  <c r="R7" i="2" s="1"/>
  <c r="Q17" i="2" s="1"/>
  <c r="O17" i="2"/>
  <c r="M15" i="2"/>
  <c r="R15" i="2" l="1"/>
  <c r="N17" i="2"/>
  <c r="M17" i="2"/>
  <c r="G9" i="4" l="1"/>
  <c r="F9" i="4"/>
  <c r="E9" i="4"/>
  <c r="D9" i="4"/>
  <c r="G7" i="4"/>
  <c r="F7" i="4"/>
  <c r="E7" i="4"/>
  <c r="D7" i="4"/>
  <c r="G6" i="4"/>
  <c r="F6" i="4"/>
  <c r="E6" i="4"/>
  <c r="D6" i="4"/>
  <c r="G5" i="4"/>
  <c r="F5" i="4"/>
  <c r="E5" i="4"/>
  <c r="D5" i="4"/>
  <c r="G4" i="4"/>
  <c r="F4" i="4"/>
  <c r="E4" i="4"/>
  <c r="D4" i="4"/>
  <c r="F10" i="4" l="1"/>
  <c r="E10" i="4"/>
  <c r="D10" i="4"/>
  <c r="G10" i="4"/>
  <c r="H9" i="4" l="1"/>
  <c r="H4" i="4"/>
  <c r="H7" i="4" l="1"/>
  <c r="H6" i="4" l="1"/>
  <c r="H5" i="4" l="1"/>
  <c r="H10" i="4" s="1"/>
  <c r="H6" i="3" l="1"/>
  <c r="G6" i="3"/>
  <c r="F6" i="3"/>
  <c r="E6" i="3"/>
  <c r="D6" i="3"/>
  <c r="H4" i="3"/>
  <c r="G4" i="3"/>
  <c r="F4" i="3"/>
  <c r="E4" i="3"/>
  <c r="D4" i="3"/>
  <c r="H39" i="3" l="1"/>
  <c r="G39" i="3"/>
  <c r="F39" i="3"/>
  <c r="E39" i="3"/>
  <c r="D39" i="3"/>
  <c r="H14" i="3" l="1"/>
  <c r="G14" i="3"/>
  <c r="F14" i="3"/>
  <c r="E14" i="3"/>
  <c r="D14" i="3"/>
  <c r="H13" i="3"/>
  <c r="G13" i="3"/>
  <c r="F13" i="3"/>
  <c r="E13" i="3"/>
  <c r="D13" i="3"/>
  <c r="H12" i="3"/>
  <c r="G12" i="3"/>
  <c r="F12" i="3"/>
  <c r="E12" i="3"/>
  <c r="D12" i="3"/>
  <c r="H11" i="3"/>
  <c r="G11" i="3"/>
  <c r="F11" i="3"/>
  <c r="E11" i="3"/>
  <c r="D11" i="3"/>
  <c r="M11" i="3" s="1"/>
  <c r="H38" i="3"/>
  <c r="G38" i="3"/>
  <c r="F38" i="3"/>
  <c r="E38" i="3"/>
  <c r="D38" i="3"/>
  <c r="H37" i="3"/>
  <c r="G37" i="3"/>
  <c r="F37" i="3"/>
  <c r="E37" i="3"/>
  <c r="D37" i="3"/>
  <c r="H36" i="3"/>
  <c r="G36" i="3"/>
  <c r="F36" i="3"/>
  <c r="E36" i="3"/>
  <c r="D36" i="3"/>
  <c r="H34" i="3"/>
  <c r="G34" i="3"/>
  <c r="F34" i="3"/>
  <c r="E34" i="3"/>
  <c r="D34" i="3"/>
  <c r="H35" i="3"/>
  <c r="G35" i="3"/>
  <c r="F35" i="3"/>
  <c r="E35" i="3"/>
  <c r="D35" i="3"/>
  <c r="Q11" i="3" l="1"/>
  <c r="P11" i="3"/>
  <c r="F40" i="3"/>
  <c r="E40" i="3"/>
  <c r="N11" i="3"/>
  <c r="O11" i="3"/>
  <c r="G40" i="3"/>
  <c r="H40" i="3"/>
  <c r="D40" i="3"/>
  <c r="H5" i="3"/>
  <c r="G5" i="3"/>
  <c r="F5" i="3"/>
  <c r="E5" i="3"/>
  <c r="D5" i="3"/>
  <c r="R11" i="3" l="1"/>
  <c r="H9" i="3"/>
  <c r="G9" i="3"/>
  <c r="F9" i="3"/>
  <c r="E9" i="3"/>
  <c r="D9" i="3"/>
  <c r="H7" i="3" l="1"/>
  <c r="G7" i="3"/>
  <c r="F7" i="3"/>
  <c r="E7" i="3"/>
  <c r="D7" i="3"/>
  <c r="H56" i="1" l="1"/>
  <c r="G56" i="1"/>
  <c r="F56" i="1"/>
  <c r="E56" i="1"/>
  <c r="D56" i="1"/>
  <c r="B56" i="1"/>
  <c r="H55" i="1"/>
  <c r="G55" i="1"/>
  <c r="F55" i="1"/>
  <c r="E55" i="1"/>
  <c r="D55" i="1"/>
  <c r="B55" i="1"/>
  <c r="H54" i="1"/>
  <c r="G54" i="1"/>
  <c r="F54" i="1"/>
  <c r="E54" i="1"/>
  <c r="D54" i="1"/>
  <c r="B54" i="1"/>
  <c r="H53" i="1"/>
  <c r="G53" i="1"/>
  <c r="F53" i="1"/>
  <c r="E53" i="1"/>
  <c r="D53" i="1"/>
  <c r="B53" i="1"/>
  <c r="H52" i="1"/>
  <c r="G52" i="1"/>
  <c r="F52" i="1"/>
  <c r="E52" i="1"/>
  <c r="D52" i="1"/>
  <c r="B52" i="1"/>
  <c r="H51" i="1"/>
  <c r="G51" i="1"/>
  <c r="F51" i="1"/>
  <c r="E51" i="1"/>
  <c r="D51" i="1"/>
  <c r="B51" i="1"/>
  <c r="H50" i="1"/>
  <c r="G50" i="1"/>
  <c r="F50" i="1"/>
  <c r="E50" i="1"/>
  <c r="D50" i="1"/>
  <c r="B50" i="1"/>
  <c r="H49" i="1"/>
  <c r="G49" i="1"/>
  <c r="F49" i="1"/>
  <c r="E49" i="1"/>
  <c r="D49" i="1"/>
  <c r="B49" i="1"/>
  <c r="H48" i="1"/>
  <c r="G48" i="1"/>
  <c r="F48" i="1"/>
  <c r="E48" i="1"/>
  <c r="D48" i="1"/>
  <c r="B48" i="1"/>
  <c r="H47" i="1"/>
  <c r="G47" i="1"/>
  <c r="F47" i="1"/>
  <c r="E47" i="1"/>
  <c r="D47" i="1"/>
  <c r="B47" i="1"/>
  <c r="H46" i="1"/>
  <c r="G46" i="1"/>
  <c r="F46" i="1"/>
  <c r="E46" i="1"/>
  <c r="D46" i="1"/>
  <c r="B46" i="1"/>
  <c r="H45" i="1"/>
  <c r="G45" i="1"/>
  <c r="F45" i="1"/>
  <c r="E45" i="1"/>
  <c r="D45" i="1"/>
  <c r="B45" i="1"/>
  <c r="H44" i="1"/>
  <c r="H19" i="1" s="1"/>
  <c r="G44" i="1"/>
  <c r="G19" i="1" s="1"/>
  <c r="F44" i="1"/>
  <c r="F19" i="1" s="1"/>
  <c r="E44" i="1"/>
  <c r="E19" i="1" s="1"/>
  <c r="D44" i="1"/>
  <c r="D19" i="1" s="1"/>
  <c r="B44" i="1"/>
  <c r="H43" i="1"/>
  <c r="H20" i="1" s="1"/>
  <c r="G43" i="1"/>
  <c r="G20" i="1" s="1"/>
  <c r="F43" i="1"/>
  <c r="F20" i="1" s="1"/>
  <c r="E43" i="1"/>
  <c r="E20" i="1" s="1"/>
  <c r="D43" i="1"/>
  <c r="D20" i="1" s="1"/>
  <c r="B43" i="1"/>
  <c r="H42" i="1"/>
  <c r="G42" i="1"/>
  <c r="F42" i="1"/>
  <c r="E42" i="1"/>
  <c r="D42" i="1"/>
  <c r="B42" i="1"/>
  <c r="H17" i="1"/>
  <c r="G17" i="1"/>
  <c r="F17" i="1"/>
  <c r="E17" i="1"/>
  <c r="D17" i="1"/>
  <c r="H16" i="1"/>
  <c r="H15" i="1"/>
  <c r="H14" i="1"/>
  <c r="H10" i="1"/>
  <c r="H7" i="1"/>
  <c r="H4" i="1"/>
  <c r="B17" i="1"/>
  <c r="B16" i="1"/>
  <c r="B15" i="1"/>
  <c r="B14" i="1"/>
  <c r="B10" i="1"/>
  <c r="B7" i="1"/>
  <c r="B4" i="1"/>
  <c r="P9" i="1" l="1"/>
  <c r="N18" i="5"/>
  <c r="P17" i="1"/>
  <c r="H21" i="1"/>
  <c r="H22" i="1" l="1"/>
  <c r="H40" i="1" s="1"/>
  <c r="H10" i="3" l="1"/>
  <c r="H15" i="3" s="1"/>
  <c r="H41" i="3" s="1"/>
  <c r="G10" i="3"/>
  <c r="G15" i="3" s="1"/>
  <c r="G41" i="3" s="1"/>
  <c r="F10" i="3"/>
  <c r="F15" i="3" s="1"/>
  <c r="F41" i="3" s="1"/>
  <c r="E10" i="3"/>
  <c r="E15" i="3" s="1"/>
  <c r="E41" i="3" s="1"/>
  <c r="D10" i="3"/>
  <c r="D15" i="3" s="1"/>
  <c r="D41" i="3" s="1"/>
  <c r="H9" i="2" l="1"/>
  <c r="G9" i="2"/>
  <c r="F9" i="2"/>
  <c r="E9" i="2"/>
  <c r="D9" i="2"/>
  <c r="H8" i="2"/>
  <c r="G8" i="2"/>
  <c r="F8" i="2"/>
  <c r="E8" i="2"/>
  <c r="D8" i="2"/>
  <c r="H7" i="2"/>
  <c r="G7" i="2"/>
  <c r="F7" i="2"/>
  <c r="E7" i="2"/>
  <c r="D7" i="2"/>
  <c r="H6" i="2"/>
  <c r="G6" i="2"/>
  <c r="F6" i="2"/>
  <c r="E6" i="2"/>
  <c r="D6" i="2"/>
  <c r="H5" i="2"/>
  <c r="G5" i="2"/>
  <c r="F5" i="2"/>
  <c r="E5" i="2"/>
  <c r="D5" i="2"/>
  <c r="H4" i="2"/>
  <c r="G4" i="2"/>
  <c r="F4" i="2"/>
  <c r="E4" i="2"/>
  <c r="D4" i="2"/>
  <c r="H10" i="2" l="1"/>
  <c r="G10" i="2"/>
  <c r="F10" i="2"/>
  <c r="E10" i="2"/>
  <c r="D10" i="2"/>
  <c r="L15" i="1" l="1"/>
  <c r="L14" i="1"/>
  <c r="L13" i="1"/>
  <c r="J13" i="5" l="1"/>
  <c r="J15" i="5" s="1"/>
  <c r="L16" i="1"/>
  <c r="J5" i="5"/>
  <c r="J9" i="5" s="1"/>
  <c r="J10" i="5"/>
  <c r="J12" i="5" s="1"/>
  <c r="M15" i="1"/>
  <c r="K13" i="5" s="1"/>
  <c r="K15" i="5" s="1"/>
  <c r="M14" i="1"/>
  <c r="K10" i="5" s="1"/>
  <c r="K12" i="5" s="1"/>
  <c r="M13" i="1"/>
  <c r="J16" i="5" l="1"/>
  <c r="K5" i="5"/>
  <c r="K9" i="5" s="1"/>
  <c r="K16" i="5" s="1"/>
  <c r="M16" i="1"/>
  <c r="N15" i="1"/>
  <c r="L13" i="5" s="1"/>
  <c r="L15" i="5" s="1"/>
  <c r="N14" i="1"/>
  <c r="L10" i="5" s="1"/>
  <c r="L12" i="5" s="1"/>
  <c r="N13" i="1"/>
  <c r="N16" i="1" l="1"/>
  <c r="L5" i="5"/>
  <c r="L9" i="5" s="1"/>
  <c r="L16" i="5" s="1"/>
  <c r="P15" i="1"/>
  <c r="N13" i="5" s="1"/>
  <c r="N15" i="5" s="1"/>
  <c r="P14" i="1"/>
  <c r="N10" i="5" s="1"/>
  <c r="N12" i="5" s="1"/>
  <c r="P5" i="1"/>
  <c r="G8" i="5" s="1"/>
  <c r="G10" i="5" s="1"/>
  <c r="P13" i="1" l="1"/>
  <c r="O13" i="1"/>
  <c r="O15" i="1"/>
  <c r="O14" i="1"/>
  <c r="P6" i="1"/>
  <c r="G11" i="5" s="1"/>
  <c r="G13" i="5" s="1"/>
  <c r="N5" i="5" l="1"/>
  <c r="N9" i="5" s="1"/>
  <c r="N16" i="5" s="1"/>
  <c r="N20" i="5" s="1"/>
  <c r="P16" i="1"/>
  <c r="M10" i="5"/>
  <c r="M12" i="5" s="1"/>
  <c r="Q14" i="1"/>
  <c r="M5" i="5"/>
  <c r="M9" i="5" s="1"/>
  <c r="O16" i="1"/>
  <c r="Q16" i="1" s="1"/>
  <c r="Q13" i="1"/>
  <c r="M13" i="5"/>
  <c r="M15" i="5" s="1"/>
  <c r="Q15" i="1"/>
  <c r="P4" i="1"/>
  <c r="M16" i="5" l="1"/>
  <c r="G5" i="5"/>
  <c r="G7" i="5" s="1"/>
  <c r="G14" i="5" s="1"/>
  <c r="G18" i="5" s="1"/>
  <c r="G20" i="5" s="1"/>
  <c r="P7" i="1"/>
  <c r="P10" i="1" s="1"/>
  <c r="O4" i="1"/>
  <c r="O5" i="1"/>
  <c r="F8" i="5" s="1"/>
  <c r="F10" i="5" s="1"/>
  <c r="F5" i="5" l="1"/>
  <c r="F7" i="5" s="1"/>
  <c r="O6" i="1"/>
  <c r="F11" i="5" s="1"/>
  <c r="F13" i="5" s="1"/>
  <c r="O7" i="1" l="1"/>
  <c r="F14" i="5"/>
  <c r="N4" i="1"/>
  <c r="N5" i="1"/>
  <c r="E8" i="5" s="1"/>
  <c r="E10" i="5" s="1"/>
  <c r="E5" i="5" l="1"/>
  <c r="E7" i="5" s="1"/>
  <c r="N6" i="1"/>
  <c r="E11" i="5" s="1"/>
  <c r="E13" i="5" s="1"/>
  <c r="N7" i="1" l="1"/>
  <c r="E14" i="5"/>
  <c r="M6" i="1" l="1"/>
  <c r="D11" i="5" s="1"/>
  <c r="D13" i="5" s="1"/>
  <c r="M5" i="1"/>
  <c r="D8" i="5" s="1"/>
  <c r="D10" i="5" s="1"/>
  <c r="M4" i="1" l="1"/>
  <c r="M7" i="1" l="1"/>
  <c r="D5" i="5"/>
  <c r="D7" i="5" s="1"/>
  <c r="D14" i="5" s="1"/>
  <c r="L6" i="1"/>
  <c r="L5" i="1"/>
  <c r="L4" i="1"/>
  <c r="L7" i="1" l="1"/>
  <c r="Q7" i="1" s="1"/>
  <c r="Q4" i="1"/>
  <c r="C5" i="5"/>
  <c r="C7" i="5" s="1"/>
  <c r="C8" i="5"/>
  <c r="C10" i="5" s="1"/>
  <c r="Q5" i="1"/>
  <c r="C11" i="5"/>
  <c r="C13" i="5" s="1"/>
  <c r="Q6" i="1"/>
  <c r="C14" i="5" l="1"/>
  <c r="G4" i="1" l="1"/>
  <c r="G7" i="1"/>
  <c r="G14" i="1"/>
  <c r="G21" i="1"/>
  <c r="G15" i="1"/>
  <c r="G16" i="1"/>
  <c r="O8" i="1"/>
  <c r="F16" i="5" s="1"/>
  <c r="F18" i="5" s="1"/>
  <c r="M18" i="5" l="1"/>
  <c r="M20" i="5" s="1"/>
  <c r="O17" i="1"/>
  <c r="F4" i="1"/>
  <c r="F7" i="1"/>
  <c r="F14" i="1"/>
  <c r="F21" i="1"/>
  <c r="F15" i="1"/>
  <c r="F16" i="1"/>
  <c r="N8" i="1"/>
  <c r="E16" i="5" s="1"/>
  <c r="E18" i="5" s="1"/>
  <c r="G10" i="1" l="1"/>
  <c r="F10" i="1"/>
  <c r="N9" i="1" s="1"/>
  <c r="N10" i="1" s="1"/>
  <c r="F22" i="1"/>
  <c r="F40" i="1" s="1"/>
  <c r="E20" i="5"/>
  <c r="L18" i="5"/>
  <c r="L20" i="5" s="1"/>
  <c r="N17" i="1"/>
  <c r="D4" i="1"/>
  <c r="D7" i="1"/>
  <c r="D14" i="1"/>
  <c r="D21" i="1"/>
  <c r="D15" i="1"/>
  <c r="D16" i="1"/>
  <c r="L8" i="1"/>
  <c r="C16" i="5" s="1"/>
  <c r="C18" i="5" s="1"/>
  <c r="O9" i="1" l="1"/>
  <c r="O10" i="1" s="1"/>
  <c r="F20" i="5"/>
  <c r="G22" i="1"/>
  <c r="G40" i="1" s="1"/>
  <c r="J18" i="5"/>
  <c r="J20" i="5" s="1"/>
  <c r="L17" i="1"/>
  <c r="E4" i="1"/>
  <c r="E7" i="1"/>
  <c r="E14" i="1"/>
  <c r="E21" i="1"/>
  <c r="E15" i="1"/>
  <c r="E16" i="1"/>
  <c r="M8" i="1"/>
  <c r="D16" i="5" s="1"/>
  <c r="D18" i="5" s="1"/>
  <c r="K18" i="5" l="1"/>
  <c r="K20" i="5" s="1"/>
  <c r="M17" i="1"/>
  <c r="D10" i="1"/>
  <c r="E10" i="1"/>
  <c r="M9" i="1" s="1"/>
  <c r="M10" i="1" s="1"/>
  <c r="E22" i="1" l="1"/>
  <c r="E40" i="1" s="1"/>
  <c r="D20" i="5"/>
  <c r="L9" i="1"/>
  <c r="L10" i="1" s="1"/>
  <c r="D22" i="1"/>
  <c r="D40" i="1" s="1"/>
  <c r="C20" i="5"/>
</calcChain>
</file>

<file path=xl/sharedStrings.xml><?xml version="1.0" encoding="utf-8"?>
<sst xmlns="http://schemas.openxmlformats.org/spreadsheetml/2006/main" count="237" uniqueCount="112">
  <si>
    <t>Gaming Machines Customer Enticements by FY</t>
  </si>
  <si>
    <t>F16</t>
  </si>
  <si>
    <t>F17</t>
  </si>
  <si>
    <t>F18</t>
  </si>
  <si>
    <t>F19</t>
  </si>
  <si>
    <t>F20</t>
  </si>
  <si>
    <t>Commission</t>
  </si>
  <si>
    <t>Program Complimentary</t>
  </si>
  <si>
    <t>Non-Program Complimentary</t>
  </si>
  <si>
    <t>Member Room F&amp;B</t>
  </si>
  <si>
    <t>Loyalty</t>
  </si>
  <si>
    <t>Marketing Allocation</t>
  </si>
  <si>
    <t>Marketing &amp; Commissions per ledger (ex-accruals)</t>
  </si>
  <si>
    <t>Table Games Customer Enticements by FY</t>
  </si>
  <si>
    <t>Bonus Jackpots</t>
  </si>
  <si>
    <t>Other</t>
  </si>
  <si>
    <t>Total Customer Enticements</t>
  </si>
  <si>
    <t>Tier Rewards/Bonus Jackpots - dining, hotel rooms, parking etc</t>
  </si>
  <si>
    <t>Welcome Back</t>
  </si>
  <si>
    <t>Marketing &amp; Events</t>
  </si>
  <si>
    <t>Commission rec</t>
  </si>
  <si>
    <t>Complimentary rec</t>
  </si>
  <si>
    <t>Marketing and Events rec</t>
  </si>
  <si>
    <t>Int Offices, Mahogany Ops and VIP Admin rec</t>
  </si>
  <si>
    <t>Capital Golf rec</t>
  </si>
  <si>
    <t>Short Term Incentives</t>
  </si>
  <si>
    <t>Lucky Money Payouts</t>
  </si>
  <si>
    <t>Third Party Referral Payments</t>
  </si>
  <si>
    <t>Int'l VIP Bar</t>
  </si>
  <si>
    <t>Total Per Recs</t>
  </si>
  <si>
    <t>Variance</t>
  </si>
  <si>
    <t>Balances per detailed files from VIP Int'l Finance team</t>
  </si>
  <si>
    <t>Including Junket wihholding tax</t>
  </si>
  <si>
    <t>Non-Program Comp, Int'l Office and VIP Admin, Capital Golf, Toolkit from Commissions which was discretionary comp items offset by Commission accrual releases</t>
  </si>
  <si>
    <t>Phil has approx $25.3m Lucky money</t>
  </si>
  <si>
    <t>Allocated share of events, promotions, advertising etc from centralised marketing function</t>
  </si>
  <si>
    <t>Cost of mailouts to Crown Rewards members</t>
  </si>
  <si>
    <t>Welcome Back / Free Credits Program</t>
  </si>
  <si>
    <t>Note</t>
  </si>
  <si>
    <t>1.</t>
  </si>
  <si>
    <t>2.</t>
  </si>
  <si>
    <t>3.</t>
  </si>
  <si>
    <t>4.</t>
  </si>
  <si>
    <t>5.</t>
  </si>
  <si>
    <t>6.</t>
  </si>
  <si>
    <t>7.</t>
  </si>
  <si>
    <t>8.</t>
  </si>
  <si>
    <t>Internal charge for food, beverage and other costs of running private member rooms</t>
  </si>
  <si>
    <t>9.</t>
  </si>
  <si>
    <t>- Carparking</t>
  </si>
  <si>
    <t>- Hotel night benefits for Black and Platinum tier member</t>
  </si>
  <si>
    <t>- Valet parking for Black and Platinum tier members</t>
  </si>
  <si>
    <t>- Dining rewards with value determined by amount of Pokie Points earned during a visit</t>
  </si>
  <si>
    <t>Note:</t>
  </si>
  <si>
    <t>Crown Rewards points redeemed for gaming machines credits or non-gaming items on property</t>
  </si>
  <si>
    <t>Rewards based on Pokie Points earned during patrons previous visit</t>
  </si>
  <si>
    <t>Based on Pokie Points earned on Gaming Machines, rewards include:</t>
  </si>
  <si>
    <t>Total above less bonusing total less total Marketing (net of accruals) less Commissions</t>
  </si>
  <si>
    <t>Rebate earned on International and Domestic Gaming Machines Program Play</t>
  </si>
  <si>
    <t>Complimentary spend earned on International and Domestic Gaming Machines Program Play</t>
  </si>
  <si>
    <t>Rebate earned on low front money Domestic Table Games Program Play</t>
  </si>
  <si>
    <t xml:space="preserve">Complimentary spend earned on Complimentary only and low value front money Domestic </t>
  </si>
  <si>
    <t>Table Games Program Play</t>
  </si>
  <si>
    <t>Crown Rewards points redeemed for gaming and/or non-gaming items on property</t>
  </si>
  <si>
    <t>Complimentary spend earned on International  Table Games Program Play</t>
  </si>
  <si>
    <t>Discretionary complimentary items including hotel nights, F&amp;B, parking, transport, event tickets, golf</t>
  </si>
  <si>
    <t>Internal charge for food, beverage and other costs of running private member rooms and salons</t>
  </si>
  <si>
    <t>Rebate earned on International Table Games Program Play including Junket Withholding Tax</t>
  </si>
  <si>
    <t>Rebate earned Domestic Table Games Program Play</t>
  </si>
  <si>
    <t>Complimentary spend earned on Domestic Table Games Program Play</t>
  </si>
  <si>
    <t>Long Term Incentives</t>
  </si>
  <si>
    <t>which are not charged against a Program Players earned Complimentary Allowance</t>
  </si>
  <si>
    <t xml:space="preserve">Cost of events, prizes, tickets and gifts </t>
  </si>
  <si>
    <t xml:space="preserve">Offered to select premium players and junket operators. Plan reset annually, with lucky money issued to </t>
  </si>
  <si>
    <t>participants upon achieving turnover targets</t>
  </si>
  <si>
    <t>Offered to select junket operators. Cost of Rebate/Commisison earn upon achieving monthly targets</t>
  </si>
  <si>
    <t>Cost of providing complimentary gaming chip vouchers to patrons (patrons redeem Lucky money</t>
  </si>
  <si>
    <t>voucher for gaming chips)</t>
  </si>
  <si>
    <t>Fee paid to third parties for introducing / referring new (or lasped) customers to Crown</t>
  </si>
  <si>
    <t>VIP International Table Games Customer Enticements by FY</t>
  </si>
  <si>
    <t>Domestic Table Games Customer Enticements by FY</t>
  </si>
  <si>
    <t>Local Tables</t>
  </si>
  <si>
    <t>Non-Program Comp</t>
  </si>
  <si>
    <t>5 Years</t>
  </si>
  <si>
    <t>Local</t>
  </si>
  <si>
    <t>Domestic</t>
  </si>
  <si>
    <t>Total</t>
  </si>
  <si>
    <t>NE Summary</t>
  </si>
  <si>
    <t>Room F&amp;B</t>
  </si>
  <si>
    <t>Mahogany</t>
  </si>
  <si>
    <t>Teak</t>
  </si>
  <si>
    <t>Riverside</t>
  </si>
  <si>
    <t>Variance - Mgt Fee, Slips</t>
  </si>
  <si>
    <t>Int'l</t>
  </si>
  <si>
    <t>Bus Program</t>
  </si>
  <si>
    <t>Non-Program Comps</t>
  </si>
  <si>
    <t>Local GM</t>
  </si>
  <si>
    <t>Local TG</t>
  </si>
  <si>
    <t>Domestic GM</t>
  </si>
  <si>
    <t>Domestic TG</t>
  </si>
  <si>
    <t>International GM</t>
  </si>
  <si>
    <t>International TG</t>
  </si>
  <si>
    <t>Total per NE Summaries</t>
  </si>
  <si>
    <t>International</t>
  </si>
  <si>
    <t>Mahogany TG</t>
  </si>
  <si>
    <t>Mahogany GM</t>
  </si>
  <si>
    <t>Teak GM</t>
  </si>
  <si>
    <t>Teak TG</t>
  </si>
  <si>
    <t>Riverside GM</t>
  </si>
  <si>
    <t>Riverside TG</t>
  </si>
  <si>
    <t>Mahogany TG Dom</t>
  </si>
  <si>
    <t>Mahogany TG Int'l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</si>
</sst>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_);[Red]\(&quot;$&quot;#,##0.0,,\)"/>
    <numFmt numFmtId="165" formatCode="&quot;$&quot;#,##0.000,,_);[Red]\(&quot;$&quot;#,##0.000,,\)"/>
  </numFmts>
  <fonts count="5" x14ac:knownFonts="1">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4">
    <xf numFmtId="0" fontId="0" fillId="0" borderId="0" xfId="0"/>
    <xf numFmtId="0" fontId="1" fillId="2" borderId="1" xfId="0"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0" fillId="0" borderId="4" xfId="0" applyBorder="1"/>
    <xf numFmtId="164" fontId="0" fillId="0" borderId="5" xfId="0" applyNumberFormat="1" applyBorder="1"/>
    <xf numFmtId="164" fontId="0" fillId="0" borderId="6" xfId="0" applyNumberFormat="1" applyBorder="1"/>
    <xf numFmtId="0" fontId="0" fillId="0" borderId="7" xfId="0" applyBorder="1"/>
    <xf numFmtId="164" fontId="0" fillId="0" borderId="0" xfId="0" applyNumberFormat="1" applyBorder="1"/>
    <xf numFmtId="164" fontId="0" fillId="0" borderId="8" xfId="0" applyNumberFormat="1" applyBorder="1"/>
    <xf numFmtId="0" fontId="0" fillId="0" borderId="9" xfId="0" applyBorder="1"/>
    <xf numFmtId="0" fontId="2" fillId="0" borderId="0" xfId="0" applyFont="1"/>
    <xf numFmtId="164" fontId="2" fillId="0" borderId="0" xfId="0" applyNumberFormat="1" applyFont="1"/>
    <xf numFmtId="164" fontId="0" fillId="0" borderId="0" xfId="0" applyNumberFormat="1"/>
    <xf numFmtId="0" fontId="0" fillId="0" borderId="7" xfId="0" applyFill="1" applyBorder="1"/>
    <xf numFmtId="0" fontId="2" fillId="5" borderId="11" xfId="0" applyFont="1" applyFill="1" applyBorder="1"/>
    <xf numFmtId="164" fontId="2" fillId="5" borderId="12" xfId="0" applyNumberFormat="1" applyFont="1" applyFill="1" applyBorder="1"/>
    <xf numFmtId="164" fontId="2" fillId="5" borderId="13" xfId="0" applyNumberFormat="1" applyFont="1" applyFill="1" applyBorder="1"/>
    <xf numFmtId="165" fontId="0" fillId="0" borderId="0" xfId="0" applyNumberFormat="1"/>
    <xf numFmtId="164" fontId="2" fillId="0" borderId="0" xfId="0" applyNumberFormat="1" applyFont="1" applyBorder="1"/>
    <xf numFmtId="0" fontId="0" fillId="0" borderId="14" xfId="0" applyBorder="1"/>
    <xf numFmtId="164" fontId="0" fillId="6" borderId="0" xfId="0" applyNumberFormat="1" applyFill="1" applyBorder="1"/>
    <xf numFmtId="164" fontId="0" fillId="6" borderId="15" xfId="0" applyNumberFormat="1" applyFill="1" applyBorder="1"/>
    <xf numFmtId="164" fontId="0" fillId="0" borderId="15" xfId="0" applyNumberFormat="1" applyBorder="1"/>
    <xf numFmtId="0" fontId="0" fillId="4" borderId="14" xfId="0" applyFill="1" applyBorder="1"/>
    <xf numFmtId="164" fontId="0" fillId="4" borderId="0" xfId="0" applyNumberFormat="1" applyFill="1" applyBorder="1"/>
    <xf numFmtId="164" fontId="0" fillId="4" borderId="15" xfId="0" applyNumberFormat="1" applyFill="1" applyBorder="1"/>
    <xf numFmtId="0" fontId="0" fillId="4" borderId="16" xfId="0" applyFill="1" applyBorder="1"/>
    <xf numFmtId="164" fontId="0" fillId="4" borderId="10" xfId="0" applyNumberFormat="1" applyFill="1" applyBorder="1"/>
    <xf numFmtId="164" fontId="0" fillId="4" borderId="17" xfId="0" applyNumberFormat="1" applyFill="1" applyBorder="1"/>
    <xf numFmtId="0" fontId="2" fillId="0" borderId="18" xfId="0" applyFont="1" applyBorder="1"/>
    <xf numFmtId="164" fontId="2" fillId="0" borderId="19" xfId="0" applyNumberFormat="1" applyFont="1" applyBorder="1"/>
    <xf numFmtId="164" fontId="2" fillId="0" borderId="20" xfId="0" applyNumberFormat="1" applyFont="1" applyBorder="1"/>
    <xf numFmtId="0" fontId="0" fillId="0" borderId="22" xfId="0" applyBorder="1"/>
    <xf numFmtId="0" fontId="0" fillId="0" borderId="21" xfId="0" applyBorder="1" applyAlignment="1">
      <alignment horizontal="center"/>
    </xf>
    <xf numFmtId="0" fontId="1" fillId="2" borderId="2" xfId="0" applyFont="1" applyFill="1" applyBorder="1"/>
    <xf numFmtId="0" fontId="0" fillId="0" borderId="5" xfId="0" applyBorder="1"/>
    <xf numFmtId="0" fontId="0" fillId="0" borderId="0" xfId="0" applyBorder="1"/>
    <xf numFmtId="0" fontId="0" fillId="0" borderId="0" xfId="0" applyFill="1" applyBorder="1"/>
    <xf numFmtId="0" fontId="2" fillId="5" borderId="12" xfId="0" applyFont="1" applyFill="1" applyBorder="1"/>
    <xf numFmtId="0" fontId="2" fillId="0" borderId="19" xfId="0" applyFont="1" applyBorder="1"/>
    <xf numFmtId="0" fontId="0" fillId="4" borderId="0" xfId="0" applyFill="1" applyBorder="1"/>
    <xf numFmtId="0" fontId="0" fillId="4" borderId="10" xfId="0" applyFill="1" applyBorder="1"/>
    <xf numFmtId="0" fontId="0" fillId="0" borderId="0" xfId="0" quotePrefix="1" applyBorder="1"/>
    <xf numFmtId="0" fontId="0" fillId="0" borderId="0" xfId="0" quotePrefix="1" applyFill="1" applyBorder="1"/>
    <xf numFmtId="0" fontId="2" fillId="3" borderId="7" xfId="0" applyFont="1" applyFill="1" applyBorder="1"/>
    <xf numFmtId="0" fontId="2" fillId="3" borderId="0" xfId="0" applyFont="1" applyFill="1" applyBorder="1"/>
    <xf numFmtId="164" fontId="2" fillId="3" borderId="0" xfId="0" applyNumberFormat="1" applyFont="1" applyFill="1" applyBorder="1"/>
    <xf numFmtId="164" fontId="2" fillId="3" borderId="8" xfId="0" applyNumberFormat="1" applyFont="1" applyFill="1" applyBorder="1"/>
    <xf numFmtId="0" fontId="0" fillId="0" borderId="0" xfId="0" applyBorder="1" applyAlignment="1">
      <alignment horizontal="left"/>
    </xf>
    <xf numFmtId="0" fontId="0" fillId="0" borderId="0" xfId="0" quotePrefix="1" applyBorder="1" applyAlignment="1">
      <alignment horizontal="left" indent="1"/>
    </xf>
    <xf numFmtId="0" fontId="3" fillId="0" borderId="0" xfId="0" applyFont="1"/>
    <xf numFmtId="0" fontId="0" fillId="0" borderId="22"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0" xfId="0" applyFill="1"/>
    <xf numFmtId="0" fontId="1" fillId="0" borderId="0" xfId="0" applyFont="1" applyFill="1" applyBorder="1" applyAlignment="1">
      <alignment horizontal="center"/>
    </xf>
    <xf numFmtId="0" fontId="0" fillId="0" borderId="0" xfId="0" applyFill="1" applyBorder="1" applyAlignment="1">
      <alignment horizontal="center"/>
    </xf>
    <xf numFmtId="0" fontId="1" fillId="2" borderId="11" xfId="0" applyFont="1" applyFill="1" applyBorder="1"/>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23" xfId="0" applyFont="1" applyFill="1" applyBorder="1" applyAlignment="1">
      <alignment horizontal="center"/>
    </xf>
    <xf numFmtId="164" fontId="0" fillId="0" borderId="21" xfId="0" applyNumberFormat="1" applyBorder="1"/>
    <xf numFmtId="0" fontId="2" fillId="0" borderId="24" xfId="0" applyFont="1" applyBorder="1"/>
    <xf numFmtId="164" fontId="2" fillId="0" borderId="25" xfId="0" applyNumberFormat="1" applyFont="1" applyBorder="1"/>
    <xf numFmtId="164" fontId="2" fillId="0" borderId="26" xfId="0" applyNumberFormat="1" applyFont="1" applyBorder="1"/>
    <xf numFmtId="164" fontId="0" fillId="0" borderId="27" xfId="0" applyNumberFormat="1" applyBorder="1"/>
    <xf numFmtId="165" fontId="0" fillId="0" borderId="0" xfId="0" applyNumberFormat="1" applyBorder="1"/>
    <xf numFmtId="0" fontId="0" fillId="0" borderId="25" xfId="0" applyBorder="1"/>
    <xf numFmtId="0" fontId="4" fillId="7" borderId="0" xfId="0" applyFont="1" applyFill="1" applyBorder="1"/>
    <xf numFmtId="164" fontId="4" fillId="7" borderId="0" xfId="0" applyNumberFormat="1" applyFont="1" applyFill="1" applyBorder="1"/>
    <xf numFmtId="164" fontId="4" fillId="7" borderId="8" xfId="0" applyNumberFormat="1" applyFont="1" applyFill="1" applyBorder="1"/>
    <xf numFmtId="0" fontId="0" fillId="7" borderId="21" xfId="0" applyFill="1" applyBorder="1" applyAlignment="1">
      <alignment horizontal="center"/>
    </xf>
    <xf numFmtId="0" fontId="0" fillId="7" borderId="7"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Slots%20F16-F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F17%20-%20TG%20RC%20Marketing%20%20Gaming%20Enticements%20Request%20Information%20Matrix.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F18%20-%20TG%20RC%20Marketing%20%20Gaming%20Enticements%20Request%20Information%20Matrix.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F19%20-%20TG%20RC%20Marketing%20%20Gaming%20Enticements%20Request%20Information%20Matrix.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F20%20-%20TG%20RC%20Marketing%20%20Gaming%20Enticements%20Request%20Information%20Matrix.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Commission%20Analysis.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Comp%20Analysi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Incentives%20-%20Int%20Offices%20&amp;%20Mahogany%20Ops%20&amp;%20Admi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Incentives%20-%20Capital%20Golf.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Int'l%20VIP%20Bar%20Mahogony%20-%20FOH.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Marketing%20Costs\International\Incentives%20-%20Market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upstore\groups\Gaming\Finance\Melbourne%20Local%20Gaming\Royal%20Commission\VIP1%20Slots%20Rev,%20EBITDA%20F15-F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roupstore\groups\Gaming\Finance\Monthly\Interstate%20Monthly\F21\Adhoc\Royal%20Commission%20-%20Marketing%20Summar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oupstore\groups\Gaming\Finance\Monthly\Slots\F21\RC\F16%20RC%20Marketing%20%20Gaming%20Enticements%20Request%20Information%20Matrix.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oupstore\groups\Gaming\Finance\Monthly\Slots\F21\RC\F17%20RC%20Marketing%20%20Gaming%20Enticements%20Request%20Information%20Matri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oupstore\groups\Gaming\Finance\Monthly\Slots\F21\RC\F18%20RC%20Marketing%20%20Gaming%20Enticements%20Request%20Information%20Matrix.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oupstore\groups\Gaming\Finance\Monthly\Slots\F21\RC\F19%20RC%20Marketing%20%20Gaming%20Enticements%20Request%20Information%20Matri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oupstore\groups\Gaming\Finance\Monthly\Slots\F21\RC\F20%20RC%20Marketing%20%20Gaming%20Enticements%20Request%20Information%20Matrix.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Summary%20-%20F16-F20%20-%20TG%20RC%20Marketing%20%20Gaming%20Enticements%20Request%20Information%20Matrix.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roupstore\groups\Gaming\Finance\Monthly\Tables\F21\Ad%20Hoc\DS\F16%20-%20TG%20RC%20Marketing%20%20Gaming%20Enticements%20Request%20Information%20Matr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M"/>
      <sheetName val="NG and Room F&amp;B Split"/>
      <sheetName val="Bonusing"/>
    </sheetNames>
    <sheetDataSet>
      <sheetData sheetId="0">
        <row r="4">
          <cell r="B4" t="str">
            <v>Commission</v>
          </cell>
          <cell r="C4">
            <v>3300164</v>
          </cell>
          <cell r="D4">
            <v>4749400</v>
          </cell>
          <cell r="E4">
            <v>5176954</v>
          </cell>
          <cell r="F4">
            <v>5123383.4190000007</v>
          </cell>
          <cell r="G4">
            <v>5045656.0120000001</v>
          </cell>
        </row>
        <row r="5">
          <cell r="B5" t="str">
            <v>Program Complimentary</v>
          </cell>
          <cell r="C5">
            <v>5263673.28</v>
          </cell>
          <cell r="D5">
            <v>5787600.7000000002</v>
          </cell>
          <cell r="E5">
            <v>6614107.3899999987</v>
          </cell>
          <cell r="F5">
            <v>7258853.3599999994</v>
          </cell>
          <cell r="G5">
            <v>5535953.5180000011</v>
          </cell>
        </row>
        <row r="6">
          <cell r="B6" t="str">
            <v>Non-Program Complimentary</v>
          </cell>
          <cell r="C6">
            <v>8230229.7710000016</v>
          </cell>
          <cell r="D6">
            <v>8235745.3510000017</v>
          </cell>
          <cell r="E6">
            <v>10412562.967</v>
          </cell>
          <cell r="F6">
            <v>11850216.693</v>
          </cell>
          <cell r="G6">
            <v>9576837.8140000012</v>
          </cell>
        </row>
        <row r="7">
          <cell r="B7" t="str">
            <v>Member Room F&amp;B</v>
          </cell>
          <cell r="C7">
            <v>8873887.9499999993</v>
          </cell>
          <cell r="D7">
            <v>10637888.500000002</v>
          </cell>
          <cell r="E7">
            <v>11414524.299999999</v>
          </cell>
          <cell r="F7">
            <v>13130537.970000001</v>
          </cell>
          <cell r="G7">
            <v>10977537.162</v>
          </cell>
        </row>
        <row r="8">
          <cell r="B8" t="str">
            <v>Loyalty</v>
          </cell>
          <cell r="C8">
            <v>48744169.910000026</v>
          </cell>
          <cell r="D8">
            <v>54920908.549999982</v>
          </cell>
          <cell r="E8">
            <v>54691311.069999993</v>
          </cell>
          <cell r="F8">
            <v>50501532.450000025</v>
          </cell>
          <cell r="G8">
            <v>37657056.179999985</v>
          </cell>
        </row>
        <row r="9">
          <cell r="B9" t="str">
            <v>Marketing Allocation</v>
          </cell>
          <cell r="C9">
            <v>13316790.9</v>
          </cell>
          <cell r="D9">
            <v>15379463.690000005</v>
          </cell>
          <cell r="E9">
            <v>16223222.119999999</v>
          </cell>
          <cell r="F9">
            <v>16744482.93</v>
          </cell>
          <cell r="G9">
            <v>12774251.339999992</v>
          </cell>
        </row>
        <row r="10">
          <cell r="B10" t="str">
            <v>Marketing Promotions</v>
          </cell>
          <cell r="C10">
            <v>2986128.7900000005</v>
          </cell>
          <cell r="D10">
            <v>2553433.17</v>
          </cell>
          <cell r="E10">
            <v>1427504.9999999998</v>
          </cell>
          <cell r="F10">
            <v>1125856.94</v>
          </cell>
          <cell r="G10">
            <v>786524.64</v>
          </cell>
        </row>
        <row r="20">
          <cell r="B20" t="str">
            <v>Bonusing split</v>
          </cell>
          <cell r="C20">
            <v>89733323.219999999</v>
          </cell>
          <cell r="D20">
            <v>92633373.709999993</v>
          </cell>
          <cell r="E20">
            <v>93351507.870000005</v>
          </cell>
          <cell r="F20">
            <v>89147211.030000001</v>
          </cell>
          <cell r="G20">
            <v>62916129.610000014</v>
          </cell>
        </row>
        <row r="21">
          <cell r="B21" t="str">
            <v>Rewards Amount</v>
          </cell>
          <cell r="C21">
            <v>12624702.859999999</v>
          </cell>
          <cell r="D21">
            <v>11221333.98</v>
          </cell>
          <cell r="E21">
            <v>11761352.43</v>
          </cell>
          <cell r="F21">
            <v>12795304.5</v>
          </cell>
          <cell r="G21">
            <v>8680347.8100000005</v>
          </cell>
        </row>
        <row r="22">
          <cell r="B22" t="str">
            <v>Free Credits Program</v>
          </cell>
          <cell r="C22">
            <v>25961174.460000001</v>
          </cell>
          <cell r="D22">
            <v>23679647.640000004</v>
          </cell>
          <cell r="E22">
            <v>23410326.359999999</v>
          </cell>
          <cell r="F22">
            <v>23402647.680000003</v>
          </cell>
          <cell r="G22">
            <v>14863300.16</v>
          </cell>
        </row>
        <row r="23">
          <cell r="B23" t="str">
            <v>Member Consolations</v>
          </cell>
          <cell r="C23">
            <v>0</v>
          </cell>
          <cell r="D23">
            <v>0</v>
          </cell>
          <cell r="E23">
            <v>0.04</v>
          </cell>
          <cell r="F23">
            <v>58229.979999999989</v>
          </cell>
          <cell r="G23">
            <v>26.88</v>
          </cell>
        </row>
        <row r="24">
          <cell r="B24" t="str">
            <v>MAIL OUTS</v>
          </cell>
          <cell r="C24">
            <v>2986128.7900000005</v>
          </cell>
          <cell r="D24">
            <v>2553433.17</v>
          </cell>
          <cell r="E24">
            <v>1427504.9999999998</v>
          </cell>
          <cell r="F24">
            <v>1125856.94</v>
          </cell>
          <cell r="G24">
            <v>786524.64</v>
          </cell>
        </row>
        <row r="25">
          <cell r="B25" t="str">
            <v>MATCHPLAY</v>
          </cell>
          <cell r="C25">
            <v>46065714.960000008</v>
          </cell>
          <cell r="D25">
            <v>52378458.169999994</v>
          </cell>
          <cell r="E25">
            <v>51975553.07</v>
          </cell>
          <cell r="F25">
            <v>47592059.719999999</v>
          </cell>
          <cell r="G25">
            <v>35329787.280000009</v>
          </cell>
        </row>
        <row r="26">
          <cell r="B26" t="str">
            <v>MISCELLANEOUS</v>
          </cell>
          <cell r="C26">
            <v>1464424.1600000001</v>
          </cell>
          <cell r="D26">
            <v>1504659.17</v>
          </cell>
          <cell r="E26">
            <v>1177060.4199999997</v>
          </cell>
          <cell r="F26">
            <v>418367.24</v>
          </cell>
          <cell r="G26">
            <v>810665.58999999985</v>
          </cell>
        </row>
        <row r="27">
          <cell r="B27" t="str">
            <v>RANDOM RICHES PROMO</v>
          </cell>
          <cell r="C27">
            <v>0</v>
          </cell>
          <cell r="D27">
            <v>272588.11</v>
          </cell>
          <cell r="E27">
            <v>2487372.75</v>
          </cell>
          <cell r="F27">
            <v>2927373.8799999994</v>
          </cell>
          <cell r="G27">
            <v>1865807.4800000002</v>
          </cell>
        </row>
        <row r="28">
          <cell r="B28" t="str">
            <v>CONSOLATION PRIZES</v>
          </cell>
          <cell r="C28">
            <v>631177.99</v>
          </cell>
          <cell r="D28">
            <v>1023253.4699999999</v>
          </cell>
          <cell r="E28">
            <v>623242.80000000005</v>
          </cell>
          <cell r="F28">
            <v>278031.09000000003</v>
          </cell>
          <cell r="G28">
            <v>181002.77000000002</v>
          </cell>
        </row>
        <row r="29">
          <cell r="B29" t="str">
            <v>POKIE CREDIT TCKT TOTAL</v>
          </cell>
          <cell r="C29">
            <v>0</v>
          </cell>
          <cell r="D29">
            <v>0</v>
          </cell>
          <cell r="E29">
            <v>301555</v>
          </cell>
          <cell r="F29">
            <v>549340</v>
          </cell>
          <cell r="G29">
            <v>398667</v>
          </cell>
        </row>
        <row r="30">
          <cell r="B30" t="str">
            <v>PROMOTIONAL TICKETS</v>
          </cell>
          <cell r="C30">
            <v>0</v>
          </cell>
          <cell r="D30">
            <v>0</v>
          </cell>
          <cell r="E30">
            <v>187540</v>
          </cell>
          <cell r="F30">
            <v>0</v>
          </cell>
          <cell r="G30">
            <v>0</v>
          </cell>
        </row>
        <row r="31">
          <cell r="B31" t="str">
            <v>Progam Promotions</v>
          </cell>
          <cell r="C31">
            <v>0</v>
          </cell>
          <cell r="D31">
            <v>0</v>
          </cell>
          <cell r="E31">
            <v>0</v>
          </cell>
          <cell r="F31">
            <v>0</v>
          </cell>
          <cell r="G31">
            <v>0</v>
          </cell>
        </row>
        <row r="32">
          <cell r="B32" t="str">
            <v>Birthday Promotions</v>
          </cell>
          <cell r="C32">
            <v>0</v>
          </cell>
          <cell r="D32">
            <v>0</v>
          </cell>
          <cell r="E32">
            <v>0</v>
          </cell>
          <cell r="F32">
            <v>0</v>
          </cell>
          <cell r="G32">
            <v>0</v>
          </cell>
        </row>
        <row r="33">
          <cell r="B33" t="str">
            <v>Country Members</v>
          </cell>
          <cell r="C33">
            <v>0</v>
          </cell>
          <cell r="D33">
            <v>0</v>
          </cell>
          <cell r="E33">
            <v>0</v>
          </cell>
          <cell r="F33">
            <v>0</v>
          </cell>
          <cell r="G33">
            <v>0</v>
          </cell>
        </row>
        <row r="34">
          <cell r="B34" t="str">
            <v>Incentive Programs</v>
          </cell>
          <cell r="C34">
            <v>0</v>
          </cell>
          <cell r="D34">
            <v>0</v>
          </cell>
          <cell r="E34">
            <v>0</v>
          </cell>
          <cell r="F34">
            <v>0</v>
          </cell>
          <cell r="G34">
            <v>0</v>
          </cell>
        </row>
      </sheetData>
      <sheetData sheetId="1">
        <row r="4">
          <cell r="D4">
            <v>3300164</v>
          </cell>
          <cell r="E4">
            <v>4749400</v>
          </cell>
          <cell r="F4">
            <v>5176954</v>
          </cell>
          <cell r="G4">
            <v>5123383.4190000007</v>
          </cell>
          <cell r="H4">
            <v>5045656.0120000001</v>
          </cell>
        </row>
        <row r="13">
          <cell r="D13">
            <v>100550.57999999999</v>
          </cell>
          <cell r="E13">
            <v>66843.639999999985</v>
          </cell>
          <cell r="F13">
            <v>32056.02</v>
          </cell>
          <cell r="G13">
            <v>135501.5</v>
          </cell>
          <cell r="H13">
            <v>67552.63</v>
          </cell>
        </row>
        <row r="21">
          <cell r="D21">
            <v>38463587.431000017</v>
          </cell>
          <cell r="E21">
            <v>42649992.261</v>
          </cell>
          <cell r="F21">
            <v>47412230.796999983</v>
          </cell>
          <cell r="G21">
            <v>52029065.183000028</v>
          </cell>
          <cell r="H21">
            <v>41259401.363999978</v>
          </cell>
        </row>
      </sheetData>
      <sheetData sheetId="2">
        <row r="5">
          <cell r="C5">
            <v>6442974.2050000001</v>
          </cell>
          <cell r="D5">
            <v>4303739.8500000061</v>
          </cell>
          <cell r="E5">
            <v>5773033.2099999944</v>
          </cell>
          <cell r="F5">
            <v>3294970.1590000065</v>
          </cell>
          <cell r="G5">
            <v>2121240.0990000032</v>
          </cell>
        </row>
        <row r="6">
          <cell r="C6">
            <v>1372675.41</v>
          </cell>
          <cell r="D6">
            <v>2592007.1360000009</v>
          </cell>
          <cell r="E6">
            <v>3051739.95</v>
          </cell>
          <cell r="F6">
            <v>5102351.2510000011</v>
          </cell>
          <cell r="G6">
            <v>4262198.3710000012</v>
          </cell>
        </row>
        <row r="7">
          <cell r="C7">
            <v>0</v>
          </cell>
          <cell r="D7">
            <v>782395.52999999991</v>
          </cell>
          <cell r="E7">
            <v>1085878.399</v>
          </cell>
          <cell r="F7">
            <v>2844046.3229999999</v>
          </cell>
          <cell r="G7">
            <v>2867871.4040000001</v>
          </cell>
        </row>
        <row r="9">
          <cell r="C9">
            <v>414580.15599999996</v>
          </cell>
          <cell r="D9">
            <v>557602.83499999996</v>
          </cell>
          <cell r="E9">
            <v>501911.40799999994</v>
          </cell>
          <cell r="F9">
            <v>608848.96</v>
          </cell>
          <cell r="G9">
            <v>325527.94</v>
          </cell>
        </row>
        <row r="14">
          <cell r="C14">
            <v>2927524.43</v>
          </cell>
          <cell r="D14">
            <v>2998469.89</v>
          </cell>
          <cell r="E14">
            <v>3416780.6699999995</v>
          </cell>
          <cell r="F14">
            <v>3825391.85</v>
          </cell>
          <cell r="G14">
            <v>3557174.4620000003</v>
          </cell>
        </row>
        <row r="15">
          <cell r="C15">
            <v>3737993.4400000004</v>
          </cell>
          <cell r="D15">
            <v>4592507.1800000006</v>
          </cell>
          <cell r="E15">
            <v>4858863.63</v>
          </cell>
          <cell r="F15">
            <v>5426091.6900000004</v>
          </cell>
          <cell r="G15">
            <v>4513792.79</v>
          </cell>
        </row>
        <row r="16">
          <cell r="C16">
            <v>2208370.08</v>
          </cell>
          <cell r="D16">
            <v>3046911.4299999997</v>
          </cell>
          <cell r="E16">
            <v>3138880</v>
          </cell>
          <cell r="F16">
            <v>3832480.96</v>
          </cell>
          <cell r="G16">
            <v>2906569.91</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amp; Information Leads"/>
      <sheetName val="Info Required by Activy &amp; Tier"/>
      <sheetName val="Sheet1"/>
      <sheetName val="Summary"/>
      <sheetName val="Gifts - Client Patron"/>
      <sheetName val="Comp Promo Gift"/>
      <sheetName val="Prog Commissions"/>
      <sheetName val="Special Event"/>
      <sheetName val="Cap Golf Event"/>
      <sheetName val="Prizes"/>
      <sheetName val="Internal Hotels"/>
      <sheetName val="Signage - excluded"/>
      <sheetName val="Sponsorship"/>
      <sheetName val="Corp Box"/>
      <sheetName val="Mkting Alloc"/>
      <sheetName val="Comp Food"/>
      <sheetName val="Comp Bev"/>
      <sheetName val="Comp Bev Vouchers"/>
      <sheetName val="Comp Retail"/>
      <sheetName val="Comp Parking"/>
      <sheetName val="Comp Smokes"/>
      <sheetName val="Comp Freeplay"/>
      <sheetName val="Comp Tix"/>
      <sheetName val="Comp Other"/>
      <sheetName val="Comp Recovery"/>
      <sheetName val="Comp Limos"/>
      <sheetName val="Comp Dom Travel"/>
      <sheetName val="Comp OS Travel"/>
      <sheetName val="Comp Valet"/>
      <sheetName val="Loyalty Food"/>
      <sheetName val="Loyalty Bev"/>
      <sheetName val="Loyalty Valet"/>
      <sheetName val="Loyalty Products"/>
      <sheetName val="Loyalty Hotel Rooms"/>
      <sheetName val="Loyalty Other"/>
      <sheetName val="Loyalty Freeplay"/>
      <sheetName val="Loyalty Extra Credits"/>
    </sheetNames>
    <sheetDataSet>
      <sheetData sheetId="0" refreshError="1"/>
      <sheetData sheetId="1" refreshError="1"/>
      <sheetData sheetId="2" refreshError="1"/>
      <sheetData sheetId="3">
        <row r="6">
          <cell r="H6">
            <v>62613.030000000435</v>
          </cell>
        </row>
        <row r="7">
          <cell r="H7">
            <v>5636695.546000001</v>
          </cell>
        </row>
        <row r="8">
          <cell r="H8">
            <v>2802714.21</v>
          </cell>
        </row>
        <row r="9">
          <cell r="H9">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F1" t="str">
            <v>Amount</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amp; Information Leads"/>
      <sheetName val="Info Required by Activy &amp; Tier"/>
      <sheetName val="Sheet1"/>
      <sheetName val="Summary"/>
      <sheetName val="Gifts - Client Patron"/>
      <sheetName val="Prog Commissions"/>
      <sheetName val="Special Event"/>
      <sheetName val="Cap Golf Event"/>
      <sheetName val="Prizes"/>
      <sheetName val="Internal Hotels"/>
      <sheetName val="Signage - excluded"/>
      <sheetName val="Sponsorship"/>
      <sheetName val="Corp Box"/>
      <sheetName val="Mkting Alloc"/>
      <sheetName val="Comp Food"/>
      <sheetName val="Comp Bev"/>
      <sheetName val="Comp Bev Vouchers"/>
      <sheetName val="Comp Retail"/>
      <sheetName val="Comp Parking"/>
      <sheetName val="Comp Smokes"/>
      <sheetName val="Comp Freeplay"/>
      <sheetName val="Comp Tix"/>
      <sheetName val="Comp Other"/>
      <sheetName val="Comp Recovery"/>
      <sheetName val="Comp Limos"/>
      <sheetName val="Comp Dom Travel"/>
      <sheetName val="Comp OS Travel"/>
      <sheetName val="Comp Valet"/>
      <sheetName val="Loyalty Food"/>
      <sheetName val="Loyalty Bev"/>
      <sheetName val="Loyalty Valet"/>
      <sheetName val="Loyalty Products"/>
      <sheetName val="Loyalty Hotel Rooms"/>
      <sheetName val="Loyalty Other"/>
      <sheetName val="Loyalty Freeplay"/>
      <sheetName val="Loyalty Extra Credits"/>
    </sheetNames>
    <sheetDataSet>
      <sheetData sheetId="0" refreshError="1"/>
      <sheetData sheetId="1" refreshError="1"/>
      <sheetData sheetId="2" refreshError="1"/>
      <sheetData sheetId="3">
        <row r="6">
          <cell r="H6">
            <v>27554.299999999872</v>
          </cell>
        </row>
        <row r="7">
          <cell r="H7">
            <v>5297540.5600000015</v>
          </cell>
        </row>
        <row r="8">
          <cell r="H8">
            <v>2644060.8199999994</v>
          </cell>
        </row>
        <row r="9">
          <cell r="H9">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F1" t="str">
            <v>Amount</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amp; Information Leads"/>
      <sheetName val="Info Required by Activy &amp; Tier"/>
      <sheetName val="Summary"/>
      <sheetName val="Gifts - Client Patron"/>
      <sheetName val="Prog Commissions"/>
      <sheetName val="Cap Golf Event"/>
      <sheetName val="Pkr Trophies"/>
      <sheetName val="Internal Hotels"/>
      <sheetName val="Signage - excluded"/>
      <sheetName val="Sponsorship"/>
      <sheetName val="Corp Box"/>
      <sheetName val="Mkting Alloc"/>
      <sheetName val="Comp Food"/>
      <sheetName val="Comp Bev"/>
      <sheetName val="Comp Bev Vouchers"/>
      <sheetName val="Comp Retail"/>
      <sheetName val="Comp Parking"/>
      <sheetName val="Comp Smokes"/>
      <sheetName val="Comp Freeplay"/>
      <sheetName val="Comp Tix"/>
      <sheetName val="Comp Other"/>
      <sheetName val="Comp Recovery"/>
      <sheetName val="Comp Limos"/>
      <sheetName val="Comp Dom Travel"/>
      <sheetName val="Comp OS Travel"/>
      <sheetName val="Comp Valet"/>
      <sheetName val="Loyalty Food"/>
      <sheetName val="Loyalty Bev"/>
      <sheetName val="Loyalty Valet"/>
      <sheetName val="Loyalty Products"/>
      <sheetName val="Loyalty Hotel Rooms"/>
      <sheetName val="Loyalty Other"/>
      <sheetName val="Loyalty Extra Credits"/>
      <sheetName val="Loyalty Freeplay"/>
    </sheetNames>
    <sheetDataSet>
      <sheetData sheetId="0" refreshError="1"/>
      <sheetData sheetId="1" refreshError="1"/>
      <sheetData sheetId="2">
        <row r="6">
          <cell r="H6">
            <v>42038.140000000596</v>
          </cell>
        </row>
        <row r="7">
          <cell r="H7">
            <v>6264118.7999999989</v>
          </cell>
        </row>
        <row r="8">
          <cell r="H8">
            <v>2450927.5300000003</v>
          </cell>
        </row>
        <row r="9">
          <cell r="H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F1" t="str">
            <v>Amount</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amp; Information Leads"/>
      <sheetName val="Info Required by Activy &amp; Tier"/>
      <sheetName val="Sheet1"/>
      <sheetName val="Summary"/>
      <sheetName val="Gifts - Client Patron"/>
      <sheetName val="Prog Commissions"/>
      <sheetName val="Cap Golf Event"/>
      <sheetName val="Prizes"/>
      <sheetName val="Internal Hotels"/>
      <sheetName val="Vouchers &amp; Donations"/>
      <sheetName val="Signage - excluded"/>
      <sheetName val="Sponsorship"/>
      <sheetName val="Corp Box"/>
      <sheetName val="Mkting Alloc"/>
      <sheetName val="Comp Food"/>
      <sheetName val="Comp Bev"/>
      <sheetName val="Comp Bev Vouchers"/>
      <sheetName val="Comp Retail"/>
      <sheetName val="Comp Parking"/>
      <sheetName val="Comp Smokes"/>
      <sheetName val="Comp Freeplay"/>
      <sheetName val="Comp Tix"/>
      <sheetName val="Comp Other"/>
      <sheetName val="Comp Recovery"/>
      <sheetName val="Comp Limos"/>
      <sheetName val="Comp Dom Travel"/>
      <sheetName val="Comp OS Travel"/>
      <sheetName val="Comp Valet"/>
      <sheetName val="Loyalty Food"/>
      <sheetName val="Loyalty Bev"/>
      <sheetName val="Loyalty Valet"/>
      <sheetName val="Loyalty Products"/>
      <sheetName val="Loyalty Hotel Rooms"/>
      <sheetName val="Loyalty Other"/>
      <sheetName val="Loyalty Freeplay"/>
      <sheetName val="Loyalty Extra Credits"/>
    </sheetNames>
    <sheetDataSet>
      <sheetData sheetId="0" refreshError="1"/>
      <sheetData sheetId="1" refreshError="1"/>
      <sheetData sheetId="2" refreshError="1"/>
      <sheetData sheetId="3">
        <row r="6">
          <cell r="H6">
            <v>21108.939999999711</v>
          </cell>
        </row>
        <row r="7">
          <cell r="H7">
            <v>5053286.0800000019</v>
          </cell>
        </row>
        <row r="8">
          <cell r="H8">
            <v>1707296.1800000004</v>
          </cell>
        </row>
        <row r="9">
          <cell r="H9">
            <v>159156.68000000002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F1" t="str">
            <v>Amount</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 Drill_2016"/>
      <sheetName val="Comm Drill_2017"/>
      <sheetName val="Comm Drill_2018"/>
      <sheetName val="Comm Drill_2019"/>
      <sheetName val="Comm Drill_2020"/>
    </sheetNames>
    <sheetDataSet>
      <sheetData sheetId="0">
        <row r="3">
          <cell r="R3">
            <v>305493036.50000006</v>
          </cell>
          <cell r="S3">
            <v>199288876.73999995</v>
          </cell>
          <cell r="T3">
            <v>313028519.18999994</v>
          </cell>
          <cell r="U3">
            <v>191237816.41000003</v>
          </cell>
          <cell r="V3">
            <v>142248720.49000001</v>
          </cell>
        </row>
        <row r="5">
          <cell r="R5">
            <v>0</v>
          </cell>
          <cell r="S5">
            <v>0</v>
          </cell>
          <cell r="T5">
            <v>0</v>
          </cell>
          <cell r="U5">
            <v>4289516</v>
          </cell>
          <cell r="V5">
            <v>208503.64999999997</v>
          </cell>
        </row>
        <row r="7">
          <cell r="R7">
            <v>4945305.4800000004</v>
          </cell>
          <cell r="S7">
            <v>878061</v>
          </cell>
          <cell r="T7">
            <v>1852545</v>
          </cell>
          <cell r="U7">
            <v>2126311</v>
          </cell>
          <cell r="V7">
            <v>750945.18</v>
          </cell>
        </row>
        <row r="8">
          <cell r="R8">
            <v>5920800</v>
          </cell>
          <cell r="S8">
            <v>2101700</v>
          </cell>
          <cell r="T8">
            <v>3907663.37</v>
          </cell>
          <cell r="U8">
            <v>2563821</v>
          </cell>
          <cell r="V8">
            <v>1006700.01</v>
          </cell>
        </row>
        <row r="9">
          <cell r="R9">
            <v>8820064</v>
          </cell>
          <cell r="S9">
            <v>5016087</v>
          </cell>
          <cell r="T9">
            <v>9940108</v>
          </cell>
          <cell r="U9">
            <v>5884765.5700000003</v>
          </cell>
          <cell r="V9">
            <v>4910667.8100000005</v>
          </cell>
        </row>
        <row r="10">
          <cell r="U10">
            <v>-71363.809999999939</v>
          </cell>
        </row>
        <row r="11">
          <cell r="R11">
            <v>342807.31</v>
          </cell>
          <cell r="S11">
            <v>31705.5</v>
          </cell>
          <cell r="T11">
            <v>2142.8000000000002</v>
          </cell>
          <cell r="U11">
            <v>33599</v>
          </cell>
          <cell r="V11">
            <v>1241</v>
          </cell>
        </row>
        <row r="12">
          <cell r="R12">
            <v>0</v>
          </cell>
          <cell r="S12">
            <v>0</v>
          </cell>
          <cell r="T12">
            <v>0</v>
          </cell>
          <cell r="U12">
            <v>278120</v>
          </cell>
          <cell r="V12">
            <v>1801</v>
          </cell>
        </row>
        <row r="14">
          <cell r="R14">
            <v>325522013.28999996</v>
          </cell>
          <cell r="S14">
            <v>207316430.23999998</v>
          </cell>
          <cell r="T14">
            <v>328730978.36000001</v>
          </cell>
          <cell r="U14">
            <v>206342585.17000002</v>
          </cell>
          <cell r="V14">
            <v>149128579.13999999</v>
          </cell>
        </row>
      </sheetData>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CR_2016"/>
      <sheetName val="DCR_2017"/>
      <sheetName val="DCR_2018"/>
      <sheetName val="DCR_2019"/>
      <sheetName val="DCR_2020"/>
      <sheetName val="Comp Drill_2016"/>
      <sheetName val="Comp Drill_2017"/>
      <sheetName val="Comp Drill_2018"/>
      <sheetName val="Comp Drill_2019"/>
      <sheetName val="Comp Drill_2020"/>
      <sheetName val="Accounts"/>
    </sheetNames>
    <sheetDataSet>
      <sheetData sheetId="0">
        <row r="42">
          <cell r="W42">
            <v>25450975</v>
          </cell>
          <cell r="X42">
            <v>10743189</v>
          </cell>
          <cell r="Y42">
            <v>14158654</v>
          </cell>
          <cell r="Z42">
            <v>8124597</v>
          </cell>
          <cell r="AA42">
            <v>5563412</v>
          </cell>
        </row>
        <row r="43">
          <cell r="W43">
            <v>9371644</v>
          </cell>
          <cell r="X43">
            <v>5222526</v>
          </cell>
          <cell r="Y43">
            <v>7505709</v>
          </cell>
          <cell r="Z43">
            <v>9282359</v>
          </cell>
          <cell r="AA43">
            <v>4684815</v>
          </cell>
        </row>
        <row r="44">
          <cell r="W44">
            <v>34822619</v>
          </cell>
          <cell r="X44">
            <v>15965715</v>
          </cell>
          <cell r="Y44">
            <v>21664363</v>
          </cell>
          <cell r="Z44">
            <v>17406956</v>
          </cell>
          <cell r="AA44">
            <v>10248227</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CONCISE"/>
      <sheetName val="SUMMARY"/>
      <sheetName val="F20 Offices"/>
      <sheetName val="F19 Offices"/>
      <sheetName val="F18 Offices"/>
      <sheetName val="F17 Offices"/>
      <sheetName val="F16 Offices"/>
      <sheetName val="F20 MGHY"/>
      <sheetName val="F20 Mghy PL"/>
      <sheetName val="F19 MGHY"/>
      <sheetName val="F19 Mghy PL"/>
      <sheetName val="F18 MGHY"/>
      <sheetName val="F18 Mghy PL"/>
      <sheetName val="F17 MGHY"/>
      <sheetName val="F17 Mghy PL"/>
      <sheetName val="F16 MGHY"/>
      <sheetName val="F16 Mghy PL"/>
      <sheetName val="F20 VPA"/>
      <sheetName val="F20 VPA PL"/>
      <sheetName val="F19 VPA"/>
      <sheetName val="F19 VPA PL"/>
      <sheetName val="F18 VPA"/>
      <sheetName val="F18 VPA PL"/>
      <sheetName val="F17 VPA"/>
      <sheetName val="F17 VPA PL"/>
      <sheetName val="F16 VPA"/>
      <sheetName val="F16 VPA PL"/>
    </sheetNames>
    <sheetDataSet>
      <sheetData sheetId="0">
        <row r="31">
          <cell r="D31">
            <v>697486.69000000006</v>
          </cell>
          <cell r="E31">
            <v>1072981.58</v>
          </cell>
          <cell r="F31">
            <v>933564.88</v>
          </cell>
          <cell r="G31">
            <v>1258760.6899999997</v>
          </cell>
          <cell r="H31">
            <v>1352708.0199999998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20"/>
      <sheetName val="P&amp;L20"/>
      <sheetName val="GL20"/>
      <sheetName val="REC19"/>
      <sheetName val="P&amp;L19"/>
      <sheetName val="GL19"/>
      <sheetName val="REC18"/>
      <sheetName val="P&amp;L18"/>
      <sheetName val="GL18"/>
      <sheetName val="REC17"/>
      <sheetName val="P&amp;L17"/>
      <sheetName val="GL17"/>
      <sheetName val="REC16"/>
      <sheetName val="P&amp;L16"/>
      <sheetName val="GL16"/>
    </sheetNames>
    <sheetDataSet>
      <sheetData sheetId="0">
        <row r="10">
          <cell r="D10">
            <v>22878.05</v>
          </cell>
          <cell r="E10">
            <v>60516.29</v>
          </cell>
          <cell r="F10">
            <v>65904.540000000008</v>
          </cell>
          <cell r="G10">
            <v>32569.86</v>
          </cell>
          <cell r="H10">
            <v>0</v>
          </cell>
        </row>
        <row r="12">
          <cell r="D12">
            <v>22878.05</v>
          </cell>
          <cell r="E12">
            <v>60516.29</v>
          </cell>
          <cell r="F12">
            <v>65904.540000000008</v>
          </cell>
          <cell r="G12">
            <v>32569.86</v>
          </cell>
          <cell r="H1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ivot Table"/>
      <sheetName val="2016"/>
      <sheetName val="2017"/>
      <sheetName val="2018"/>
      <sheetName val="2019"/>
      <sheetName val="2020"/>
    </sheetNames>
    <sheetDataSet>
      <sheetData sheetId="0">
        <row r="16">
          <cell r="D16">
            <v>4509466.3500000006</v>
          </cell>
          <cell r="E16">
            <v>3958680.7090000007</v>
          </cell>
          <cell r="F16">
            <v>3827926.74</v>
          </cell>
          <cell r="G16">
            <v>3882754.4900000007</v>
          </cell>
          <cell r="H16">
            <v>2792142.2100000004</v>
          </cell>
        </row>
      </sheetData>
      <sheetData sheetId="1"/>
      <sheetData sheetId="2"/>
      <sheetData sheetId="3"/>
      <sheetData sheetId="4"/>
      <sheetData sheetId="5"/>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20"/>
      <sheetName val="2020"/>
      <sheetName val="GL20"/>
      <sheetName val="REC19"/>
      <sheetName val="2019"/>
      <sheetName val="GL19"/>
      <sheetName val="REC18"/>
      <sheetName val="2018"/>
      <sheetName val="18"/>
      <sheetName val="REC17"/>
      <sheetName val="2017"/>
      <sheetName val="17"/>
      <sheetName val="REC16"/>
      <sheetName val="2016"/>
      <sheetName val="16"/>
      <sheetName val="COA"/>
    </sheetNames>
    <sheetDataSet>
      <sheetData sheetId="0">
        <row r="16">
          <cell r="D16">
            <v>3695001.2700000014</v>
          </cell>
          <cell r="E16">
            <v>4788846.7799999993</v>
          </cell>
          <cell r="F16">
            <v>3786506.8800000008</v>
          </cell>
          <cell r="G16">
            <v>2280945.5500000003</v>
          </cell>
          <cell r="H16">
            <v>6348104.54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15"/>
      <sheetName val="F16"/>
      <sheetName val="F17"/>
      <sheetName val="F18"/>
      <sheetName val="F19"/>
      <sheetName val="F20"/>
      <sheetName val="F15 Actual P&amp;L"/>
      <sheetName val="F16 Actual P&amp;L"/>
      <sheetName val="F16 Data"/>
      <sheetName val="F17 VIP1 Act"/>
      <sheetName val="F17 VIP1 Theo"/>
      <sheetName val="F18 VIP1 Act"/>
      <sheetName val="F19 VIP1 Act"/>
      <sheetName val="F19 VIP1 Theo"/>
      <sheetName val="F20 VIP1 Act"/>
      <sheetName val="F20 VIP1 Theo"/>
      <sheetName val="F19 CMPR"/>
      <sheetName val="F20 CMPR"/>
      <sheetName val="Shu"/>
      <sheetName val="F16 CMPR"/>
      <sheetName val="F17 CMPR"/>
    </sheetNames>
    <sheetDataSet>
      <sheetData sheetId="0">
        <row r="9">
          <cell r="E9">
            <v>-2126605.8726349999</v>
          </cell>
          <cell r="G9">
            <v>-3378955.5280299997</v>
          </cell>
          <cell r="I9">
            <v>-4090789.6139899977</v>
          </cell>
          <cell r="K9">
            <v>-4211658.1303650001</v>
          </cell>
          <cell r="M9">
            <v>-3868133.5062449975</v>
          </cell>
        </row>
        <row r="16">
          <cell r="E16">
            <v>-1157200.0267350001</v>
          </cell>
          <cell r="G16">
            <v>-1392695.0282949996</v>
          </cell>
          <cell r="I16">
            <v>-1060726.6617099999</v>
          </cell>
          <cell r="K16">
            <v>-979748.75552000024</v>
          </cell>
          <cell r="M16">
            <v>-1070397.0729049996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arketing by account"/>
      <sheetName val="DCR Summary"/>
    </sheetNames>
    <sheetDataSet>
      <sheetData sheetId="0">
        <row r="4">
          <cell r="B4" t="str">
            <v>Commission</v>
          </cell>
          <cell r="C4">
            <v>13260847</v>
          </cell>
          <cell r="D4">
            <v>20434175.690000001</v>
          </cell>
          <cell r="E4">
            <v>28463291</v>
          </cell>
          <cell r="F4">
            <v>22121147</v>
          </cell>
          <cell r="G4">
            <v>8036079</v>
          </cell>
        </row>
        <row r="5">
          <cell r="C5">
            <v>2721611.0400000005</v>
          </cell>
          <cell r="D5">
            <v>3853165.6399999987</v>
          </cell>
          <cell r="E5">
            <v>5036963.07</v>
          </cell>
          <cell r="F5">
            <v>4038913.2899999996</v>
          </cell>
          <cell r="G5">
            <v>2105265.9000000004</v>
          </cell>
        </row>
        <row r="6">
          <cell r="C6">
            <v>1090429.57</v>
          </cell>
          <cell r="D6">
            <v>1225924.4300000002</v>
          </cell>
          <cell r="E6">
            <v>863966.42</v>
          </cell>
          <cell r="F6">
            <v>1096126.7899999998</v>
          </cell>
          <cell r="G6">
            <v>522038.89099999995</v>
          </cell>
        </row>
        <row r="7">
          <cell r="C7">
            <v>758712.92499999993</v>
          </cell>
          <cell r="D7">
            <v>1101558.075</v>
          </cell>
          <cell r="E7">
            <v>1632371.21</v>
          </cell>
          <cell r="F7">
            <v>909009.39</v>
          </cell>
          <cell r="G7">
            <v>676967.12999999989</v>
          </cell>
        </row>
        <row r="10">
          <cell r="C10">
            <v>1153382.6700000002</v>
          </cell>
          <cell r="D10">
            <v>1544440.4099999997</v>
          </cell>
          <cell r="E10">
            <v>1284051.7</v>
          </cell>
          <cell r="F10">
            <v>1323857.1800000002</v>
          </cell>
          <cell r="G10">
            <v>1043870.8199999998</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sheetName val="2"/>
      <sheetName val="3"/>
      <sheetName val="4"/>
      <sheetName val="4a"/>
      <sheetName val="4b"/>
      <sheetName val="4c"/>
      <sheetName val="4d"/>
      <sheetName val="4e"/>
      <sheetName val="5"/>
      <sheetName val="6"/>
      <sheetName val="7"/>
      <sheetName val="8"/>
      <sheetName val="9"/>
      <sheetName val="10"/>
      <sheetName val="11"/>
      <sheetName val="12"/>
      <sheetName val="13"/>
      <sheetName val="KYL"/>
      <sheetName val="Accruals"/>
      <sheetName val="Cost transfers"/>
    </sheetNames>
    <sheetDataSet>
      <sheetData sheetId="0">
        <row r="3">
          <cell r="D3">
            <v>89733323.219999999</v>
          </cell>
        </row>
      </sheetData>
      <sheetData sheetId="1" refreshError="1"/>
      <sheetData sheetId="2">
        <row r="28">
          <cell r="V28">
            <v>1663865.4500000002</v>
          </cell>
        </row>
        <row r="29">
          <cell r="V29">
            <v>3599807.8300000005</v>
          </cell>
        </row>
      </sheetData>
      <sheetData sheetId="3">
        <row r="18">
          <cell r="T18">
            <v>3726966.2249999996</v>
          </cell>
        </row>
      </sheetData>
      <sheetData sheetId="4">
        <row r="18">
          <cell r="T18">
            <v>618891.34000000032</v>
          </cell>
        </row>
      </sheetData>
      <sheetData sheetId="5">
        <row r="18">
          <cell r="T18">
            <v>528808.51</v>
          </cell>
        </row>
      </sheetData>
      <sheetData sheetId="6">
        <row r="18">
          <cell r="T18">
            <v>47178.079999999994</v>
          </cell>
        </row>
      </sheetData>
      <sheetData sheetId="7">
        <row r="18">
          <cell r="T18">
            <v>623321.83000000007</v>
          </cell>
        </row>
      </sheetData>
      <sheetData sheetId="8">
        <row r="18">
          <cell r="T18">
            <v>267268.98</v>
          </cell>
        </row>
      </sheetData>
      <sheetData sheetId="9">
        <row r="2">
          <cell r="S2">
            <v>2927524.43</v>
          </cell>
        </row>
      </sheetData>
      <sheetData sheetId="10" refreshError="1"/>
      <sheetData sheetId="11">
        <row r="18">
          <cell r="T18">
            <v>32854.090000000004</v>
          </cell>
        </row>
      </sheetData>
      <sheetData sheetId="12">
        <row r="18">
          <cell r="T18">
            <v>229789.83999999997</v>
          </cell>
        </row>
      </sheetData>
      <sheetData sheetId="13">
        <row r="18">
          <cell r="T18">
            <v>354601.22000000003</v>
          </cell>
        </row>
      </sheetData>
      <sheetData sheetId="14" refreshError="1"/>
      <sheetData sheetId="15">
        <row r="18">
          <cell r="T18">
            <v>13294.09</v>
          </cell>
        </row>
      </sheetData>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sheetName val="2"/>
      <sheetName val="3"/>
      <sheetName val="4"/>
      <sheetName val="4a"/>
      <sheetName val="4b"/>
      <sheetName val="4c"/>
      <sheetName val="4d"/>
      <sheetName val="4e"/>
      <sheetName val="5"/>
      <sheetName val="6"/>
      <sheetName val="7"/>
      <sheetName val="8"/>
      <sheetName val="9"/>
      <sheetName val="10"/>
      <sheetName val="11"/>
      <sheetName val="12"/>
      <sheetName val="13"/>
      <sheetName val="KYL"/>
      <sheetName val="Accruals"/>
    </sheetNames>
    <sheetDataSet>
      <sheetData sheetId="0">
        <row r="3">
          <cell r="E3">
            <v>92633373.709999993</v>
          </cell>
        </row>
      </sheetData>
      <sheetData sheetId="1"/>
      <sheetData sheetId="2">
        <row r="28">
          <cell r="V28">
            <v>1851144.9700000002</v>
          </cell>
        </row>
        <row r="29">
          <cell r="V29">
            <v>3936352.4099999992</v>
          </cell>
        </row>
      </sheetData>
      <sheetData sheetId="3">
        <row r="2">
          <cell r="S2" t="str">
            <v>40001066</v>
          </cell>
        </row>
      </sheetData>
      <sheetData sheetId="4">
        <row r="18">
          <cell r="T18">
            <v>751548.57699999982</v>
          </cell>
        </row>
      </sheetData>
      <sheetData sheetId="5">
        <row r="18">
          <cell r="T18">
            <v>386310.64999999997</v>
          </cell>
        </row>
      </sheetData>
      <sheetData sheetId="6">
        <row r="18">
          <cell r="T18">
            <v>52460.660000000025</v>
          </cell>
        </row>
      </sheetData>
      <sheetData sheetId="7">
        <row r="18">
          <cell r="T18">
            <v>151619.88500000001</v>
          </cell>
        </row>
      </sheetData>
      <sheetData sheetId="8">
        <row r="18">
          <cell r="T18">
            <v>0</v>
          </cell>
        </row>
      </sheetData>
      <sheetData sheetId="9">
        <row r="2">
          <cell r="S2">
            <v>2998469.89</v>
          </cell>
        </row>
      </sheetData>
      <sheetData sheetId="10"/>
      <sheetData sheetId="11">
        <row r="18">
          <cell r="T18">
            <v>21370.339999999997</v>
          </cell>
        </row>
      </sheetData>
      <sheetData sheetId="12">
        <row r="18">
          <cell r="T18">
            <v>154832.6</v>
          </cell>
        </row>
      </sheetData>
      <sheetData sheetId="13">
        <row r="18">
          <cell r="T18">
            <v>158616.65999999997</v>
          </cell>
        </row>
      </sheetData>
      <sheetData sheetId="14"/>
      <sheetData sheetId="15">
        <row r="18">
          <cell r="T18">
            <v>0</v>
          </cell>
        </row>
      </sheetData>
      <sheetData sheetId="16"/>
      <sheetData sheetId="17"/>
      <sheetData sheetId="18">
        <row r="14">
          <cell r="J14">
            <v>28250</v>
          </cell>
        </row>
      </sheetData>
      <sheetData sheetId="19">
        <row r="157">
          <cell r="J157">
            <v>768221.31999999983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sheetName val="2"/>
      <sheetName val="3"/>
      <sheetName val="4"/>
      <sheetName val="4a"/>
      <sheetName val="4b"/>
      <sheetName val="4c"/>
      <sheetName val="4d"/>
      <sheetName val="4e"/>
      <sheetName val="5"/>
      <sheetName val="6"/>
      <sheetName val="7"/>
      <sheetName val="8"/>
      <sheetName val="9"/>
      <sheetName val="10"/>
      <sheetName val="11"/>
      <sheetName val="12"/>
      <sheetName val="13"/>
      <sheetName val="KYL"/>
      <sheetName val="Accruals"/>
    </sheetNames>
    <sheetDataSet>
      <sheetData sheetId="0">
        <row r="3">
          <cell r="F3">
            <v>93351507.870000005</v>
          </cell>
        </row>
      </sheetData>
      <sheetData sheetId="1" refreshError="1"/>
      <sheetData sheetId="2">
        <row r="33">
          <cell r="V33">
            <v>2639876.5700000003</v>
          </cell>
        </row>
        <row r="34">
          <cell r="V34">
            <v>3925251.08</v>
          </cell>
        </row>
      </sheetData>
      <sheetData sheetId="3">
        <row r="18">
          <cell r="T18">
            <v>3737274.812999995</v>
          </cell>
        </row>
      </sheetData>
      <sheetData sheetId="4">
        <row r="18">
          <cell r="T18">
            <v>897280.08600000001</v>
          </cell>
        </row>
      </sheetData>
      <sheetData sheetId="5">
        <row r="18">
          <cell r="T18">
            <v>503728.05000000016</v>
          </cell>
        </row>
      </sheetData>
      <sheetData sheetId="6">
        <row r="18">
          <cell r="T18">
            <v>86033.179999999978</v>
          </cell>
        </row>
      </sheetData>
      <sheetData sheetId="7">
        <row r="18">
          <cell r="T18">
            <v>97986.011000000028</v>
          </cell>
        </row>
      </sheetData>
      <sheetData sheetId="8">
        <row r="18">
          <cell r="T18">
            <v>0</v>
          </cell>
        </row>
      </sheetData>
      <sheetData sheetId="9">
        <row r="2">
          <cell r="S2">
            <v>3416780.6699999995</v>
          </cell>
        </row>
      </sheetData>
      <sheetData sheetId="10" refreshError="1"/>
      <sheetData sheetId="11">
        <row r="18">
          <cell r="T18">
            <v>91834.64999999998</v>
          </cell>
        </row>
      </sheetData>
      <sheetData sheetId="12">
        <row r="18">
          <cell r="T18">
            <v>237737.34999999998</v>
          </cell>
        </row>
      </sheetData>
      <sheetData sheetId="13">
        <row r="18">
          <cell r="T18">
            <v>121159.06999999995</v>
          </cell>
        </row>
      </sheetData>
      <sheetData sheetId="14" refreshError="1"/>
      <sheetData sheetId="15">
        <row r="18">
          <cell r="T18">
            <v>0</v>
          </cell>
        </row>
      </sheetData>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sheetName val="2"/>
      <sheetName val="3"/>
      <sheetName val="4"/>
      <sheetName val="4a"/>
      <sheetName val="4b"/>
      <sheetName val="4c"/>
      <sheetName val="4d"/>
      <sheetName val="4e"/>
      <sheetName val="5"/>
      <sheetName val="6"/>
      <sheetName val="7"/>
      <sheetName val="8"/>
      <sheetName val="9"/>
      <sheetName val="10"/>
      <sheetName val="11"/>
      <sheetName val="12"/>
      <sheetName val="13"/>
      <sheetName val="KYL"/>
      <sheetName val="Accruals"/>
    </sheetNames>
    <sheetDataSet>
      <sheetData sheetId="0">
        <row r="3">
          <cell r="G3">
            <v>89147211.030000001</v>
          </cell>
        </row>
      </sheetData>
      <sheetData sheetId="1" refreshError="1"/>
      <sheetData sheetId="2">
        <row r="33">
          <cell r="V33">
            <v>3574431.62</v>
          </cell>
        </row>
        <row r="34">
          <cell r="V34">
            <v>3637760.7399999998</v>
          </cell>
        </row>
      </sheetData>
      <sheetData sheetId="3">
        <row r="19">
          <cell r="T19">
            <v>953129.60300000687</v>
          </cell>
        </row>
      </sheetData>
      <sheetData sheetId="4">
        <row r="19">
          <cell r="T19">
            <v>818580.84999999928</v>
          </cell>
        </row>
      </sheetData>
      <sheetData sheetId="5">
        <row r="19">
          <cell r="T19">
            <v>565523.43999999994</v>
          </cell>
        </row>
      </sheetData>
      <sheetData sheetId="6">
        <row r="19">
          <cell r="T19">
            <v>147330.68</v>
          </cell>
        </row>
      </sheetData>
      <sheetData sheetId="7">
        <row r="19">
          <cell r="T19">
            <v>87345.690999999933</v>
          </cell>
        </row>
      </sheetData>
      <sheetData sheetId="8">
        <row r="19">
          <cell r="T19">
            <v>210014.47999999998</v>
          </cell>
        </row>
      </sheetData>
      <sheetData sheetId="9">
        <row r="3">
          <cell r="S3">
            <v>3825391.85</v>
          </cell>
        </row>
      </sheetData>
      <sheetData sheetId="10" refreshError="1"/>
      <sheetData sheetId="11">
        <row r="18">
          <cell r="T18">
            <v>227704.94999999995</v>
          </cell>
        </row>
      </sheetData>
      <sheetData sheetId="12">
        <row r="18">
          <cell r="T18">
            <v>163423.61000000002</v>
          </cell>
        </row>
      </sheetData>
      <sheetData sheetId="13">
        <row r="18">
          <cell r="T18">
            <v>121916.85500000003</v>
          </cell>
        </row>
      </sheetData>
      <sheetData sheetId="14" refreshError="1"/>
      <sheetData sheetId="15">
        <row r="18">
          <cell r="T18">
            <v>0</v>
          </cell>
        </row>
      </sheetData>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
      <sheetName val="2"/>
      <sheetName val="3"/>
      <sheetName val="4"/>
      <sheetName val="4a"/>
      <sheetName val="4b"/>
      <sheetName val="4C"/>
      <sheetName val="4d"/>
      <sheetName val="4e"/>
      <sheetName val="5"/>
      <sheetName val="6"/>
      <sheetName val="7"/>
      <sheetName val="8"/>
      <sheetName val="9"/>
      <sheetName val="10"/>
      <sheetName val="11"/>
      <sheetName val="12"/>
      <sheetName val="13"/>
      <sheetName val="KYL"/>
      <sheetName val="Accruals"/>
      <sheetName val="Unclassified"/>
    </sheetNames>
    <sheetDataSet>
      <sheetData sheetId="0" refreshError="1"/>
      <sheetData sheetId="1" refreshError="1"/>
      <sheetData sheetId="2">
        <row r="39">
          <cell r="V39">
            <v>2829204.6279999996</v>
          </cell>
        </row>
        <row r="40">
          <cell r="V40">
            <v>2685221.8899999997</v>
          </cell>
        </row>
      </sheetData>
      <sheetData sheetId="3">
        <row r="20">
          <cell r="T20">
            <v>4182078.415</v>
          </cell>
        </row>
      </sheetData>
      <sheetData sheetId="4">
        <row r="20">
          <cell r="T20">
            <v>608281.70999999973</v>
          </cell>
        </row>
      </sheetData>
      <sheetData sheetId="5">
        <row r="20">
          <cell r="T20">
            <v>737624.15</v>
          </cell>
        </row>
      </sheetData>
      <sheetData sheetId="6">
        <row r="20">
          <cell r="T20">
            <v>24335.990000000005</v>
          </cell>
        </row>
      </sheetData>
      <sheetData sheetId="7">
        <row r="20">
          <cell r="T20">
            <v>-191617.98800000001</v>
          </cell>
        </row>
      </sheetData>
      <sheetData sheetId="8">
        <row r="20">
          <cell r="T20">
            <v>0</v>
          </cell>
        </row>
      </sheetData>
      <sheetData sheetId="9">
        <row r="2">
          <cell r="S2">
            <v>3557174.4620000003</v>
          </cell>
        </row>
      </sheetData>
      <sheetData sheetId="10" refreshError="1"/>
      <sheetData sheetId="11">
        <row r="20">
          <cell r="T20">
            <v>155778.62999999995</v>
          </cell>
        </row>
      </sheetData>
      <sheetData sheetId="12">
        <row r="20">
          <cell r="T20">
            <v>139810.04</v>
          </cell>
        </row>
      </sheetData>
      <sheetData sheetId="13">
        <row r="20">
          <cell r="T20">
            <v>104967.65999999993</v>
          </cell>
        </row>
      </sheetData>
      <sheetData sheetId="14" refreshError="1"/>
      <sheetData sheetId="15">
        <row r="19">
          <cell r="T19">
            <v>0</v>
          </cell>
        </row>
      </sheetData>
      <sheetData sheetId="16" refreshError="1"/>
      <sheetData sheetId="17" refreshError="1"/>
      <sheetData sheetId="18" refreshError="1"/>
      <sheetData sheetId="19" refreshError="1"/>
      <sheetData sheetId="20">
        <row r="19">
          <cell r="T19">
            <v>-3640018.5079999976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G and Room F&amp;B Split"/>
      <sheetName val="Rec"/>
    </sheetNames>
    <sheetDataSet>
      <sheetData sheetId="0">
        <row r="3">
          <cell r="C3" t="str">
            <v>F16</v>
          </cell>
          <cell r="D3" t="str">
            <v>F17</v>
          </cell>
          <cell r="E3" t="str">
            <v>F18</v>
          </cell>
          <cell r="F3" t="str">
            <v>F19</v>
          </cell>
          <cell r="G3" t="str">
            <v>F20</v>
          </cell>
        </row>
        <row r="4">
          <cell r="B4" t="str">
            <v>Commission</v>
          </cell>
          <cell r="C4">
            <v>0</v>
          </cell>
          <cell r="D4">
            <v>0</v>
          </cell>
          <cell r="E4">
            <v>150850</v>
          </cell>
          <cell r="F4">
            <v>1401856.0000000005</v>
          </cell>
          <cell r="G4">
            <v>845093</v>
          </cell>
        </row>
        <row r="5">
          <cell r="B5" t="str">
            <v>Program Complimentary</v>
          </cell>
          <cell r="C5">
            <v>9263587.1100000013</v>
          </cell>
          <cell r="D5">
            <v>11369662.189999999</v>
          </cell>
          <cell r="E5">
            <v>9593602.4000000004</v>
          </cell>
          <cell r="F5">
            <v>9324904.6499999985</v>
          </cell>
          <cell r="G5">
            <v>7531727.4200000009</v>
          </cell>
        </row>
        <row r="6">
          <cell r="B6" t="str">
            <v>Non-Program Complimentary</v>
          </cell>
          <cell r="C6">
            <v>10858415.014999997</v>
          </cell>
          <cell r="D6">
            <v>12018411.263999997</v>
          </cell>
          <cell r="E6">
            <v>12082021.308</v>
          </cell>
          <cell r="F6">
            <v>14337735.160000002</v>
          </cell>
          <cell r="G6">
            <v>10474569.459999999</v>
          </cell>
        </row>
        <row r="7">
          <cell r="B7" t="str">
            <v>Member Room F&amp;B</v>
          </cell>
          <cell r="C7">
            <v>7581899.3049999988</v>
          </cell>
          <cell r="D7">
            <v>8550818.2660000026</v>
          </cell>
          <cell r="E7">
            <v>8176727.2700000005</v>
          </cell>
          <cell r="F7">
            <v>9023301.2299999986</v>
          </cell>
          <cell r="G7">
            <v>7145501.9400000023</v>
          </cell>
        </row>
        <row r="8">
          <cell r="B8" t="str">
            <v>L29 &amp; L39</v>
          </cell>
          <cell r="C8">
            <v>33648.105000000302</v>
          </cell>
          <cell r="D8">
            <v>62613.030000000435</v>
          </cell>
          <cell r="E8">
            <v>27554.299999999872</v>
          </cell>
          <cell r="F8">
            <v>42038.140000000596</v>
          </cell>
          <cell r="G8">
            <v>21108.939999999711</v>
          </cell>
        </row>
        <row r="9">
          <cell r="B9" t="str">
            <v>Mahog Room</v>
          </cell>
          <cell r="C9">
            <v>5350690.9699999979</v>
          </cell>
          <cell r="D9">
            <v>5636695.546000001</v>
          </cell>
          <cell r="E9">
            <v>5297540.5600000015</v>
          </cell>
          <cell r="F9">
            <v>6264118.7999999989</v>
          </cell>
          <cell r="G9">
            <v>5053286.0800000019</v>
          </cell>
        </row>
        <row r="10">
          <cell r="B10" t="str">
            <v>Teak Room</v>
          </cell>
          <cell r="C10">
            <v>2150186.0299999998</v>
          </cell>
          <cell r="D10">
            <v>2802714.21</v>
          </cell>
          <cell r="E10">
            <v>2644060.8199999994</v>
          </cell>
          <cell r="F10">
            <v>2450927.5300000003</v>
          </cell>
          <cell r="G10">
            <v>1707296.1800000004</v>
          </cell>
        </row>
        <row r="11">
          <cell r="B11" t="str">
            <v>Riverside Room</v>
          </cell>
          <cell r="C11">
            <v>0</v>
          </cell>
          <cell r="D11">
            <v>0</v>
          </cell>
          <cell r="E11">
            <v>0</v>
          </cell>
          <cell r="F11">
            <v>0</v>
          </cell>
          <cell r="G11">
            <v>159156.68000000002</v>
          </cell>
        </row>
        <row r="12">
          <cell r="B12" t="str">
            <v>Loyalty</v>
          </cell>
          <cell r="C12">
            <v>17209944.939999994</v>
          </cell>
          <cell r="D12">
            <v>17784457.594999984</v>
          </cell>
          <cell r="E12">
            <v>19196620.632000014</v>
          </cell>
          <cell r="F12">
            <v>21408300.951999985</v>
          </cell>
          <cell r="G12">
            <v>16960719.160000008</v>
          </cell>
        </row>
        <row r="13">
          <cell r="B13" t="str">
            <v>Marketing Allocation</v>
          </cell>
          <cell r="C13">
            <v>11198133.380000003</v>
          </cell>
          <cell r="D13">
            <v>11007911.409999993</v>
          </cell>
          <cell r="E13">
            <v>11750691.587000005</v>
          </cell>
          <cell r="F13">
            <v>12062848.440000003</v>
          </cell>
          <cell r="G13">
            <v>10356231.440000009</v>
          </cell>
        </row>
        <row r="14">
          <cell r="B14" t="str">
            <v>Excluded Items</v>
          </cell>
          <cell r="C14">
            <v>-1216702.6400000001</v>
          </cell>
          <cell r="D14">
            <v>-793644.02599999995</v>
          </cell>
          <cell r="E14">
            <v>-538762.18399999989</v>
          </cell>
          <cell r="F14">
            <v>-897013.8899999999</v>
          </cell>
          <cell r="G14">
            <v>-523236.31699999992</v>
          </cell>
        </row>
        <row r="16">
          <cell r="B16" t="str">
            <v xml:space="preserve">Total </v>
          </cell>
          <cell r="C16">
            <v>54895277.109999992</v>
          </cell>
          <cell r="D16">
            <v>59937616.698999979</v>
          </cell>
          <cell r="E16">
            <v>60411751.013000019</v>
          </cell>
          <cell r="F16">
            <v>66661932.541999981</v>
          </cell>
          <cell r="G16">
            <v>52790606.103000015</v>
          </cell>
        </row>
        <row r="17">
          <cell r="B17" t="str">
            <v>Check</v>
          </cell>
          <cell r="C17">
            <v>0</v>
          </cell>
          <cell r="D17">
            <v>0</v>
          </cell>
          <cell r="E17">
            <v>0</v>
          </cell>
          <cell r="F17">
            <v>0</v>
          </cell>
          <cell r="G17">
            <v>0</v>
          </cell>
        </row>
        <row r="22">
          <cell r="B22" t="str">
            <v>What's in each item?</v>
          </cell>
        </row>
        <row r="23">
          <cell r="B23" t="str">
            <v>Commission</v>
          </cell>
          <cell r="C23" t="str">
            <v>Commission on programs</v>
          </cell>
        </row>
        <row r="24">
          <cell r="B24" t="str">
            <v>Program Complimentary</v>
          </cell>
          <cell r="C24" t="str">
            <v>Hotel, Comp Food, Comp Bev, Comp Recovery, Comp Travel</v>
          </cell>
        </row>
        <row r="25">
          <cell r="B25" t="str">
            <v>Non-Program Complimentary</v>
          </cell>
          <cell r="C25" t="str">
            <v>Gifts, Hotel, Special Events, Corp Box (lease &amp; F&amp;B), Comp Food (PMAs), Comp Bev, Comp Bev Vouchers, Comp Retail, Comp Parking, Comp Smokes, Comp Freeplay, Comp Tickets, Comp Other (ie comp cashout), Comp Recovery, Comp Limos, Comp Travel (to events), Comp Valet</v>
          </cell>
        </row>
        <row r="26">
          <cell r="B26" t="str">
            <v>Member Room F&amp;B</v>
          </cell>
          <cell r="C26" t="str">
            <v>L29, L39, Mahog, Teak, Management Fee, Value Meal Promos</v>
          </cell>
        </row>
        <row r="27">
          <cell r="B27" t="str">
            <v>L29 &amp; L39</v>
          </cell>
          <cell r="C27" t="str">
            <v>Included in Member Room F&amp;B</v>
          </cell>
        </row>
        <row r="28">
          <cell r="B28" t="str">
            <v>Mahog Room</v>
          </cell>
          <cell r="C28" t="str">
            <v>Included in Member Room F&amp;B</v>
          </cell>
        </row>
        <row r="29">
          <cell r="B29" t="str">
            <v>Teak Room</v>
          </cell>
          <cell r="C29" t="str">
            <v>Included in Member Room F&amp;B</v>
          </cell>
        </row>
        <row r="30">
          <cell r="B30" t="str">
            <v>Riverside Room</v>
          </cell>
          <cell r="C30" t="str">
            <v>Included in Member Room F&amp;B</v>
          </cell>
        </row>
        <row r="31">
          <cell r="B31" t="str">
            <v>Loyalty</v>
          </cell>
          <cell r="C31" t="str">
            <v>Food, Beverage, Valet, Products, Hotel Rooms, Other, Freeplay, Extra Credits</v>
          </cell>
        </row>
        <row r="32">
          <cell r="B32" t="str">
            <v>Marketing Allocation</v>
          </cell>
          <cell r="C32" t="str">
            <v>Allocation from Marketing</v>
          </cell>
        </row>
        <row r="33">
          <cell r="B33" t="str">
            <v>Excluded Items</v>
          </cell>
          <cell r="C33" t="str">
            <v xml:space="preserve">TG Accruals, Concur Accruals, Transfers to/from other departments, incorrectly allocated costs </v>
          </cell>
        </row>
      </sheetData>
      <sheetData sheetId="1">
        <row r="5">
          <cell r="C5">
            <v>9032972.8349999972</v>
          </cell>
          <cell r="D5">
            <v>9961171.9089999981</v>
          </cell>
          <cell r="E5">
            <v>9819582.5980000012</v>
          </cell>
          <cell r="F5">
            <v>11530928.08</v>
          </cell>
          <cell r="G5">
            <v>8936592.9900000002</v>
          </cell>
        </row>
        <row r="6">
          <cell r="C6">
            <v>1825442.1800000002</v>
          </cell>
          <cell r="D6">
            <v>2057239.3549999986</v>
          </cell>
          <cell r="E6">
            <v>2262438.7099999981</v>
          </cell>
          <cell r="F6">
            <v>2806807.0800000019</v>
          </cell>
          <cell r="G6">
            <v>1537976.469999999</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s &amp; Information Leads"/>
      <sheetName val="Info Required by Activy &amp; Tier"/>
      <sheetName val="Sheet1"/>
      <sheetName val="Summary"/>
      <sheetName val="Gifts - Client Patron"/>
      <sheetName val="Other Promo Costs"/>
      <sheetName val="Prog Commissions"/>
      <sheetName val="Special Event"/>
      <sheetName val="Cap Golf Event"/>
      <sheetName val="Prizes"/>
      <sheetName val="Internal Hotels"/>
      <sheetName val="Signage - excluded"/>
      <sheetName val="Sponsorship"/>
      <sheetName val="Corp Box"/>
      <sheetName val="Mkting Alloc"/>
      <sheetName val="Comp Food"/>
      <sheetName val="Comp Bev"/>
      <sheetName val="Comp Bev Vouchers"/>
      <sheetName val="Comp Retail"/>
      <sheetName val="Comp Parking"/>
      <sheetName val="Comp Smokes"/>
      <sheetName val="Comp Freeplay"/>
      <sheetName val="Comp Tix"/>
      <sheetName val="Comp Other"/>
      <sheetName val="Comp Recovery"/>
      <sheetName val="Comp Limos"/>
      <sheetName val="Comp Dom Travel"/>
      <sheetName val="Comp OS Travel"/>
      <sheetName val="Comp Valet"/>
      <sheetName val="Loyalty Food"/>
      <sheetName val="Loyalty Bev"/>
      <sheetName val="Loyalty Valet"/>
      <sheetName val="Loyalty Products"/>
      <sheetName val="Loyalty Hotel Rooms"/>
      <sheetName val="Loyalty Other"/>
      <sheetName val="Loyalty Freeplay"/>
      <sheetName val="Loyalty Extra Credits"/>
    </sheetNames>
    <sheetDataSet>
      <sheetData sheetId="0" refreshError="1"/>
      <sheetData sheetId="1" refreshError="1"/>
      <sheetData sheetId="2" refreshError="1"/>
      <sheetData sheetId="3">
        <row r="6">
          <cell r="H6">
            <v>33648.105000000302</v>
          </cell>
        </row>
        <row r="7">
          <cell r="H7">
            <v>5350690.9699999979</v>
          </cell>
        </row>
        <row r="8">
          <cell r="H8">
            <v>2150186.0299999998</v>
          </cell>
        </row>
        <row r="9">
          <cell r="H9">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F1" t="str">
            <v>Amount</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Q56"/>
  <sheetViews>
    <sheetView tabSelected="1" zoomScale="110" zoomScaleNormal="110" workbookViewId="0">
      <selection activeCell="J10" sqref="J10"/>
    </sheetView>
  </sheetViews>
  <sheetFormatPr defaultRowHeight="15" x14ac:dyDescent="0.25"/>
  <cols>
    <col min="2" max="2" width="4.7109375" customWidth="1"/>
    <col min="3" max="3" width="42" customWidth="1"/>
    <col min="4" max="8" width="8.85546875" customWidth="1"/>
    <col min="9" max="9" width="5.42578125" bestFit="1" customWidth="1"/>
    <col min="11" max="11" width="18.85546875" bestFit="1" customWidth="1"/>
  </cols>
  <sheetData>
    <row r="2" spans="2:17" ht="15.75" thickBot="1" x14ac:dyDescent="0.3"/>
    <row r="3" spans="2:17" ht="15.75" thickBot="1" x14ac:dyDescent="0.3">
      <c r="B3" s="1" t="s">
        <v>0</v>
      </c>
      <c r="C3" s="35"/>
      <c r="D3" s="2" t="s">
        <v>1</v>
      </c>
      <c r="E3" s="2" t="s">
        <v>2</v>
      </c>
      <c r="F3" s="2" t="s">
        <v>3</v>
      </c>
      <c r="G3" s="2" t="s">
        <v>4</v>
      </c>
      <c r="H3" s="3" t="s">
        <v>5</v>
      </c>
      <c r="I3" s="3" t="s">
        <v>38</v>
      </c>
      <c r="K3" s="58" t="s">
        <v>82</v>
      </c>
      <c r="L3" s="59" t="s">
        <v>1</v>
      </c>
      <c r="M3" s="59" t="s">
        <v>2</v>
      </c>
      <c r="N3" s="59" t="s">
        <v>3</v>
      </c>
      <c r="O3" s="59" t="s">
        <v>4</v>
      </c>
      <c r="P3" s="60" t="s">
        <v>5</v>
      </c>
      <c r="Q3" s="61" t="s">
        <v>83</v>
      </c>
    </row>
    <row r="4" spans="2:17" x14ac:dyDescent="0.25">
      <c r="B4" s="4" t="str">
        <f>[1]Summary!B4</f>
        <v>Commission</v>
      </c>
      <c r="C4" s="36"/>
      <c r="D4" s="5">
        <f>[1]Summary!C4</f>
        <v>3300164</v>
      </c>
      <c r="E4" s="5">
        <f>[1]Summary!D4</f>
        <v>4749400</v>
      </c>
      <c r="F4" s="5">
        <f>[1]Summary!E4</f>
        <v>5176954</v>
      </c>
      <c r="G4" s="5">
        <f>[1]Summary!F4</f>
        <v>5123383.4190000007</v>
      </c>
      <c r="H4" s="6">
        <f>[1]Summary!G4</f>
        <v>5045656.0120000001</v>
      </c>
      <c r="I4" s="34">
        <v>1</v>
      </c>
      <c r="K4" s="7" t="s">
        <v>84</v>
      </c>
      <c r="L4" s="8">
        <f>'[1]NG and Room F&amp;B Split'!C5</f>
        <v>6442974.2050000001</v>
      </c>
      <c r="M4" s="8">
        <f>'[1]NG and Room F&amp;B Split'!D5</f>
        <v>4303739.8500000061</v>
      </c>
      <c r="N4" s="8">
        <f>'[1]NG and Room F&amp;B Split'!E5</f>
        <v>5773033.2099999944</v>
      </c>
      <c r="O4" s="8">
        <f>'[1]NG and Room F&amp;B Split'!F5</f>
        <v>3294970.1590000065</v>
      </c>
      <c r="P4" s="9">
        <f>'[1]NG and Room F&amp;B Split'!G5</f>
        <v>2121240.0990000032</v>
      </c>
      <c r="Q4" s="62">
        <f>SUM(L4:P4)</f>
        <v>21935957.523000009</v>
      </c>
    </row>
    <row r="5" spans="2:17" x14ac:dyDescent="0.25">
      <c r="B5" s="73"/>
      <c r="C5" s="69" t="s">
        <v>103</v>
      </c>
      <c r="D5" s="70">
        <f>-[2]Summary!$E$9</f>
        <v>2126605.8726349999</v>
      </c>
      <c r="E5" s="70">
        <f>-[2]Summary!$G$9</f>
        <v>3378955.5280299997</v>
      </c>
      <c r="F5" s="70">
        <f>-[2]Summary!$I$9</f>
        <v>4090789.6139899977</v>
      </c>
      <c r="G5" s="70">
        <f>-[2]Summary!$K$9</f>
        <v>4211658.1303650001</v>
      </c>
      <c r="H5" s="71">
        <f>-[2]Summary!$M$9</f>
        <v>3868133.5062449975</v>
      </c>
      <c r="I5" s="72"/>
      <c r="K5" s="7" t="s">
        <v>85</v>
      </c>
      <c r="L5" s="8">
        <f>'[1]NG and Room F&amp;B Split'!C6</f>
        <v>1372675.41</v>
      </c>
      <c r="M5" s="8">
        <f>'[1]NG and Room F&amp;B Split'!D6</f>
        <v>2592007.1360000009</v>
      </c>
      <c r="N5" s="8">
        <f>'[1]NG and Room F&amp;B Split'!E6</f>
        <v>3051739.95</v>
      </c>
      <c r="O5" s="8">
        <f>'[1]NG and Room F&amp;B Split'!F6</f>
        <v>5102351.2510000011</v>
      </c>
      <c r="P5" s="9">
        <f>'[1]NG and Room F&amp;B Split'!G6</f>
        <v>4262198.3710000012</v>
      </c>
      <c r="Q5" s="62">
        <f>SUM(L5:P5)</f>
        <v>16380972.118000003</v>
      </c>
    </row>
    <row r="6" spans="2:17" x14ac:dyDescent="0.25">
      <c r="B6" s="73"/>
      <c r="C6" s="69" t="s">
        <v>85</v>
      </c>
      <c r="D6" s="70">
        <f>-[2]Summary!$E$16</f>
        <v>1157200.0267350001</v>
      </c>
      <c r="E6" s="70">
        <f>-[2]Summary!$G$16-100000</f>
        <v>1292695.0282949996</v>
      </c>
      <c r="F6" s="70">
        <f>-[2]Summary!$I$16</f>
        <v>1060726.6617099999</v>
      </c>
      <c r="G6" s="70">
        <f>-[2]Summary!$K$16-100000</f>
        <v>879748.75552000024</v>
      </c>
      <c r="H6" s="71">
        <f>-[2]Summary!$M$16</f>
        <v>1070397.0729049996</v>
      </c>
      <c r="I6" s="72"/>
      <c r="K6" s="7" t="s">
        <v>93</v>
      </c>
      <c r="L6" s="8">
        <f>'[1]NG and Room F&amp;B Split'!C7</f>
        <v>0</v>
      </c>
      <c r="M6" s="8">
        <f>'[1]NG and Room F&amp;B Split'!D7</f>
        <v>782395.52999999991</v>
      </c>
      <c r="N6" s="8">
        <f>'[1]NG and Room F&amp;B Split'!E7</f>
        <v>1085878.399</v>
      </c>
      <c r="O6" s="8">
        <f>'[1]NG and Room F&amp;B Split'!F7</f>
        <v>2844046.3229999999</v>
      </c>
      <c r="P6" s="9">
        <f>'[1]NG and Room F&amp;B Split'!G7</f>
        <v>2867871.4040000001</v>
      </c>
      <c r="Q6" s="62">
        <f>SUM(L6:P6)</f>
        <v>7580191.6560000004</v>
      </c>
    </row>
    <row r="7" spans="2:17" ht="15.75" thickBot="1" x14ac:dyDescent="0.3">
      <c r="B7" s="7" t="str">
        <f>[1]Summary!B5</f>
        <v>Program Complimentary</v>
      </c>
      <c r="C7" s="37"/>
      <c r="D7" s="8">
        <f>[1]Summary!C5</f>
        <v>5263673.28</v>
      </c>
      <c r="E7" s="8">
        <f>[1]Summary!D5</f>
        <v>5787600.7000000002</v>
      </c>
      <c r="F7" s="8">
        <f>[1]Summary!E5</f>
        <v>6614107.3899999987</v>
      </c>
      <c r="G7" s="8">
        <f>[1]Summary!F5</f>
        <v>7258853.3599999994</v>
      </c>
      <c r="H7" s="9">
        <f>[1]Summary!G5</f>
        <v>5535953.5180000011</v>
      </c>
      <c r="I7" s="34">
        <v>2</v>
      </c>
      <c r="K7" s="63" t="s">
        <v>86</v>
      </c>
      <c r="L7" s="64">
        <f>SUM(L4:L6)</f>
        <v>7815649.6150000002</v>
      </c>
      <c r="M7" s="64">
        <f t="shared" ref="M7:P7" si="0">SUM(M4:M6)</f>
        <v>7678142.5160000073</v>
      </c>
      <c r="N7" s="64">
        <f t="shared" si="0"/>
        <v>9910651.5589999948</v>
      </c>
      <c r="O7" s="64">
        <f t="shared" si="0"/>
        <v>11241367.733000007</v>
      </c>
      <c r="P7" s="65">
        <f t="shared" si="0"/>
        <v>9251309.8740000054</v>
      </c>
      <c r="Q7" s="66">
        <f>SUM(L7:P7)</f>
        <v>45897121.297000013</v>
      </c>
    </row>
    <row r="8" spans="2:17" x14ac:dyDescent="0.25">
      <c r="B8" s="73"/>
      <c r="C8" s="69" t="s">
        <v>103</v>
      </c>
      <c r="D8" s="70">
        <f>'[3]3'!$V$28</f>
        <v>1663865.4500000002</v>
      </c>
      <c r="E8" s="70">
        <f>'[4]3'!$V$28</f>
        <v>1851144.9700000002</v>
      </c>
      <c r="F8" s="70">
        <f>'[5]3'!$V$33</f>
        <v>2639876.5700000003</v>
      </c>
      <c r="G8" s="70">
        <f>'[6]3'!$V$33</f>
        <v>3574431.62</v>
      </c>
      <c r="H8" s="71">
        <f>'[7]3'!$V$39</f>
        <v>2829204.6279999996</v>
      </c>
      <c r="I8" s="72"/>
      <c r="K8" t="s">
        <v>94</v>
      </c>
      <c r="L8" s="8">
        <f>'[1]NG and Room F&amp;B Split'!C9</f>
        <v>414580.15599999996</v>
      </c>
      <c r="M8" s="8">
        <f>'[1]NG and Room F&amp;B Split'!D9</f>
        <v>557602.83499999996</v>
      </c>
      <c r="N8" s="8">
        <f>'[1]NG and Room F&amp;B Split'!E9</f>
        <v>501911.40799999994</v>
      </c>
      <c r="O8" s="8">
        <f>'[1]NG and Room F&amp;B Split'!F9</f>
        <v>608848.96</v>
      </c>
      <c r="P8" s="8">
        <f>'[1]NG and Room F&amp;B Split'!G9</f>
        <v>325527.94</v>
      </c>
    </row>
    <row r="9" spans="2:17" x14ac:dyDescent="0.25">
      <c r="B9" s="73"/>
      <c r="C9" s="69" t="s">
        <v>85</v>
      </c>
      <c r="D9" s="70">
        <f>'[3]3'!$V$29</f>
        <v>3599807.8300000005</v>
      </c>
      <c r="E9" s="70">
        <f>'[4]3'!$V$29</f>
        <v>3936352.4099999992</v>
      </c>
      <c r="F9" s="70">
        <f>'[5]3'!$V$34+50000</f>
        <v>3975251.08</v>
      </c>
      <c r="G9" s="70">
        <f>'[6]3'!$V$34+50000</f>
        <v>3687760.7399999998</v>
      </c>
      <c r="H9" s="71">
        <f>'[7]3'!$V$40</f>
        <v>2685221.8899999997</v>
      </c>
      <c r="I9" s="72"/>
      <c r="K9" t="s">
        <v>87</v>
      </c>
      <c r="L9" s="8">
        <f>D10</f>
        <v>8230229.7710000016</v>
      </c>
      <c r="M9" s="8">
        <f>E10</f>
        <v>8235745.3510000017</v>
      </c>
      <c r="N9" s="8">
        <f>F10</f>
        <v>10412562.967</v>
      </c>
      <c r="O9" s="8">
        <f>G10</f>
        <v>11850216.693</v>
      </c>
      <c r="P9" s="8">
        <f>H10</f>
        <v>9576837.8140000012</v>
      </c>
    </row>
    <row r="10" spans="2:17" x14ac:dyDescent="0.25">
      <c r="B10" s="7" t="str">
        <f>[1]Summary!B6</f>
        <v>Non-Program Complimentary</v>
      </c>
      <c r="C10" s="37"/>
      <c r="D10" s="8">
        <f>[1]Summary!C6</f>
        <v>8230229.7710000016</v>
      </c>
      <c r="E10" s="8">
        <f>[1]Summary!D6</f>
        <v>8235745.3510000017</v>
      </c>
      <c r="F10" s="8">
        <f>[1]Summary!E6</f>
        <v>10412562.967</v>
      </c>
      <c r="G10" s="8">
        <f>[1]Summary!F6</f>
        <v>11850216.693</v>
      </c>
      <c r="H10" s="9">
        <f>[1]Summary!G6</f>
        <v>9576837.8140000012</v>
      </c>
      <c r="I10" s="34">
        <v>3</v>
      </c>
      <c r="L10" s="67">
        <f>SUM(L7:L8)-L9</f>
        <v>0</v>
      </c>
      <c r="M10" s="67">
        <f t="shared" ref="M10:P10" si="1">SUM(M7:M8)-M9</f>
        <v>0</v>
      </c>
      <c r="N10" s="67">
        <f t="shared" si="1"/>
        <v>0</v>
      </c>
      <c r="O10" s="67">
        <f t="shared" si="1"/>
        <v>0</v>
      </c>
      <c r="P10" s="67">
        <f t="shared" si="1"/>
        <v>0</v>
      </c>
    </row>
    <row r="11" spans="2:17" ht="15" customHeight="1" thickBot="1" x14ac:dyDescent="0.3">
      <c r="B11" s="73"/>
      <c r="C11" s="69" t="s">
        <v>103</v>
      </c>
      <c r="D11" s="70">
        <f>L6</f>
        <v>0</v>
      </c>
      <c r="E11" s="70">
        <f t="shared" ref="E11:H11" si="2">M6</f>
        <v>782395.52999999991</v>
      </c>
      <c r="F11" s="70">
        <f t="shared" si="2"/>
        <v>1085878.399</v>
      </c>
      <c r="G11" s="70">
        <f t="shared" si="2"/>
        <v>2844046.3229999999</v>
      </c>
      <c r="H11" s="71">
        <f t="shared" si="2"/>
        <v>2867871.4040000001</v>
      </c>
      <c r="I11" s="72"/>
      <c r="L11" s="67"/>
      <c r="M11" s="67"/>
      <c r="N11" s="67"/>
      <c r="O11" s="67"/>
      <c r="P11" s="67"/>
    </row>
    <row r="12" spans="2:17" ht="15" customHeight="1" thickBot="1" x14ac:dyDescent="0.3">
      <c r="B12" s="73"/>
      <c r="C12" s="69" t="s">
        <v>85</v>
      </c>
      <c r="D12" s="70">
        <f>L5</f>
        <v>1372675.41</v>
      </c>
      <c r="E12" s="70">
        <f t="shared" ref="E12:H12" si="3">M5</f>
        <v>2592007.1360000009</v>
      </c>
      <c r="F12" s="70">
        <f t="shared" si="3"/>
        <v>3051739.95</v>
      </c>
      <c r="G12" s="70">
        <f t="shared" si="3"/>
        <v>5102351.2510000011</v>
      </c>
      <c r="H12" s="71">
        <f t="shared" si="3"/>
        <v>4262198.3710000012</v>
      </c>
      <c r="I12" s="72"/>
      <c r="K12" s="58" t="s">
        <v>88</v>
      </c>
      <c r="L12" s="59" t="s">
        <v>1</v>
      </c>
      <c r="M12" s="59" t="s">
        <v>2</v>
      </c>
      <c r="N12" s="59" t="s">
        <v>3</v>
      </c>
      <c r="O12" s="59" t="s">
        <v>4</v>
      </c>
      <c r="P12" s="60" t="s">
        <v>5</v>
      </c>
      <c r="Q12" s="61" t="s">
        <v>83</v>
      </c>
    </row>
    <row r="13" spans="2:17" ht="15" customHeight="1" x14ac:dyDescent="0.25">
      <c r="B13" s="73"/>
      <c r="C13" s="69" t="s">
        <v>84</v>
      </c>
      <c r="D13" s="70">
        <f>L4+L8</f>
        <v>6857554.3609999996</v>
      </c>
      <c r="E13" s="70">
        <f t="shared" ref="E13:H13" si="4">M4+M8</f>
        <v>4861342.6850000061</v>
      </c>
      <c r="F13" s="70">
        <f t="shared" si="4"/>
        <v>6274944.6179999942</v>
      </c>
      <c r="G13" s="70">
        <f t="shared" si="4"/>
        <v>3903819.1190000065</v>
      </c>
      <c r="H13" s="71">
        <f t="shared" si="4"/>
        <v>2446768.0390000031</v>
      </c>
      <c r="I13" s="72"/>
      <c r="K13" s="7" t="s">
        <v>89</v>
      </c>
      <c r="L13" s="8">
        <f>'[1]NG and Room F&amp;B Split'!C14</f>
        <v>2927524.43</v>
      </c>
      <c r="M13" s="8">
        <f>'[1]NG and Room F&amp;B Split'!D14</f>
        <v>2998469.89</v>
      </c>
      <c r="N13" s="8">
        <f>'[1]NG and Room F&amp;B Split'!E14</f>
        <v>3416780.6699999995</v>
      </c>
      <c r="O13" s="8">
        <f>'[1]NG and Room F&amp;B Split'!F14</f>
        <v>3825391.85</v>
      </c>
      <c r="P13" s="9">
        <f>'[1]NG and Room F&amp;B Split'!G14</f>
        <v>3557174.4620000003</v>
      </c>
      <c r="Q13" s="62">
        <f>SUM(L13:P13)</f>
        <v>16725341.302000001</v>
      </c>
    </row>
    <row r="14" spans="2:17" x14ac:dyDescent="0.25">
      <c r="B14" s="7" t="str">
        <f>[1]Summary!B7</f>
        <v>Member Room F&amp;B</v>
      </c>
      <c r="C14" s="37"/>
      <c r="D14" s="8">
        <f>[1]Summary!C7</f>
        <v>8873887.9499999993</v>
      </c>
      <c r="E14" s="8">
        <f>[1]Summary!D7</f>
        <v>10637888.500000002</v>
      </c>
      <c r="F14" s="8">
        <f>[1]Summary!E7</f>
        <v>11414524.299999999</v>
      </c>
      <c r="G14" s="8">
        <f>[1]Summary!F7</f>
        <v>13130537.970000001</v>
      </c>
      <c r="H14" s="9">
        <f>[1]Summary!G7</f>
        <v>10977537.162</v>
      </c>
      <c r="I14" s="34">
        <v>4</v>
      </c>
      <c r="K14" s="7" t="s">
        <v>90</v>
      </c>
      <c r="L14" s="8">
        <f>'[1]NG and Room F&amp;B Split'!C15</f>
        <v>3737993.4400000004</v>
      </c>
      <c r="M14" s="8">
        <f>'[1]NG and Room F&amp;B Split'!D15</f>
        <v>4592507.1800000006</v>
      </c>
      <c r="N14" s="8">
        <f>'[1]NG and Room F&amp;B Split'!E15</f>
        <v>4858863.63</v>
      </c>
      <c r="O14" s="8">
        <f>'[1]NG and Room F&amp;B Split'!F15</f>
        <v>5426091.6900000004</v>
      </c>
      <c r="P14" s="9">
        <f>'[1]NG and Room F&amp;B Split'!G15</f>
        <v>4513792.79</v>
      </c>
      <c r="Q14" s="62">
        <f>SUM(L14:P14)</f>
        <v>23129248.73</v>
      </c>
    </row>
    <row r="15" spans="2:17" x14ac:dyDescent="0.25">
      <c r="B15" s="7" t="str">
        <f>[1]Summary!B8</f>
        <v>Loyalty</v>
      </c>
      <c r="C15" s="37"/>
      <c r="D15" s="8">
        <f>[1]Summary!C8</f>
        <v>48744169.910000026</v>
      </c>
      <c r="E15" s="8">
        <f>[1]Summary!D8</f>
        <v>54920908.549999982</v>
      </c>
      <c r="F15" s="8">
        <f>[1]Summary!E8</f>
        <v>54691311.069999993</v>
      </c>
      <c r="G15" s="8">
        <f>[1]Summary!F8</f>
        <v>50501532.450000025</v>
      </c>
      <c r="H15" s="9">
        <f>[1]Summary!G8</f>
        <v>37657056.179999985</v>
      </c>
      <c r="I15" s="34">
        <v>5</v>
      </c>
      <c r="K15" s="7" t="s">
        <v>91</v>
      </c>
      <c r="L15" s="8">
        <f>'[1]NG and Room F&amp;B Split'!C16</f>
        <v>2208370.08</v>
      </c>
      <c r="M15" s="8">
        <f>'[1]NG and Room F&amp;B Split'!D16</f>
        <v>3046911.4299999997</v>
      </c>
      <c r="N15" s="8">
        <f>'[1]NG and Room F&amp;B Split'!E16</f>
        <v>3138880</v>
      </c>
      <c r="O15" s="8">
        <f>'[1]NG and Room F&amp;B Split'!F16</f>
        <v>3832480.96</v>
      </c>
      <c r="P15" s="9">
        <f>'[1]NG and Room F&amp;B Split'!G16</f>
        <v>2906569.91</v>
      </c>
      <c r="Q15" s="62">
        <f>SUM(L15:P15)</f>
        <v>15133212.379999999</v>
      </c>
    </row>
    <row r="16" spans="2:17" ht="15.75" thickBot="1" x14ac:dyDescent="0.3">
      <c r="B16" s="7" t="str">
        <f>[1]Summary!B9</f>
        <v>Marketing Allocation</v>
      </c>
      <c r="C16" s="37"/>
      <c r="D16" s="8">
        <f>[1]Summary!C9</f>
        <v>13316790.9</v>
      </c>
      <c r="E16" s="8">
        <f>[1]Summary!D9</f>
        <v>15379463.690000005</v>
      </c>
      <c r="F16" s="8">
        <f>[1]Summary!E9</f>
        <v>16223222.119999999</v>
      </c>
      <c r="G16" s="8">
        <f>[1]Summary!F9</f>
        <v>16744482.93</v>
      </c>
      <c r="H16" s="9">
        <f>[1]Summary!G9</f>
        <v>12774251.339999992</v>
      </c>
      <c r="I16" s="34">
        <v>6</v>
      </c>
      <c r="K16" s="63" t="str">
        <f>K7</f>
        <v>Total</v>
      </c>
      <c r="L16" s="64">
        <f>SUM(L13:L15)</f>
        <v>8873887.9500000011</v>
      </c>
      <c r="M16" s="64">
        <f>SUM(M13:M15)</f>
        <v>10637888.5</v>
      </c>
      <c r="N16" s="64">
        <f>SUM(N13:N15)</f>
        <v>11414524.299999999</v>
      </c>
      <c r="O16" s="64">
        <f>SUM(O13:O15)</f>
        <v>13083964.5</v>
      </c>
      <c r="P16" s="65">
        <f>SUM(P13:P15)</f>
        <v>10977537.162</v>
      </c>
      <c r="Q16" s="66">
        <f>SUM(L16:P16)</f>
        <v>54987802.412</v>
      </c>
    </row>
    <row r="17" spans="2:16" x14ac:dyDescent="0.25">
      <c r="B17" s="7" t="str">
        <f>[1]Summary!B10</f>
        <v>Marketing Promotions</v>
      </c>
      <c r="C17" s="37"/>
      <c r="D17" s="8">
        <f>[1]Summary!C10</f>
        <v>2986128.7900000005</v>
      </c>
      <c r="E17" s="8">
        <f>[1]Summary!D10</f>
        <v>2553433.17</v>
      </c>
      <c r="F17" s="8">
        <f>[1]Summary!E10</f>
        <v>1427504.9999999998</v>
      </c>
      <c r="G17" s="8">
        <f>[1]Summary!F10</f>
        <v>1125856.94</v>
      </c>
      <c r="H17" s="9">
        <f>[1]Summary!G10</f>
        <v>786524.64</v>
      </c>
      <c r="I17" s="34">
        <v>7</v>
      </c>
      <c r="K17" t="s">
        <v>87</v>
      </c>
      <c r="L17" s="8">
        <f>D14</f>
        <v>8873887.9499999993</v>
      </c>
      <c r="M17" s="8">
        <f>E14</f>
        <v>10637888.500000002</v>
      </c>
      <c r="N17" s="8">
        <f>F14</f>
        <v>11414524.299999999</v>
      </c>
      <c r="O17" s="8">
        <f>G14</f>
        <v>13130537.970000001</v>
      </c>
      <c r="P17" s="8">
        <f>H14</f>
        <v>10977537.162</v>
      </c>
    </row>
    <row r="18" spans="2:16" hidden="1" x14ac:dyDescent="0.25">
      <c r="B18" s="45" t="s">
        <v>12</v>
      </c>
      <c r="C18" s="46"/>
      <c r="D18" s="47">
        <f>SUM(D4,D7,D10,D14:D17)</f>
        <v>90715044.601000041</v>
      </c>
      <c r="E18" s="47">
        <f>SUM(E4,E7,E10,E14:E17)</f>
        <v>102264439.96099998</v>
      </c>
      <c r="F18" s="47">
        <f>SUM(F4,F7,F10,F14:F17)</f>
        <v>105960186.847</v>
      </c>
      <c r="G18" s="47">
        <f>SUM(G4,G7,G10,G14:G17)</f>
        <v>105734863.76200002</v>
      </c>
      <c r="H18" s="48">
        <f>SUM(H4,H7,H10,H14:H17)</f>
        <v>82353816.665999979</v>
      </c>
      <c r="I18" s="34"/>
    </row>
    <row r="19" spans="2:16" x14ac:dyDescent="0.25">
      <c r="B19" s="14" t="s">
        <v>37</v>
      </c>
      <c r="C19" s="38"/>
      <c r="D19" s="13">
        <f>D44</f>
        <v>25961174.460000001</v>
      </c>
      <c r="E19" s="13">
        <f>E44</f>
        <v>23679647.640000004</v>
      </c>
      <c r="F19" s="13">
        <f>F44</f>
        <v>23410326.359999999</v>
      </c>
      <c r="G19" s="13">
        <f>G44</f>
        <v>23402647.680000003</v>
      </c>
      <c r="H19" s="9">
        <f>H44</f>
        <v>14863300.16</v>
      </c>
      <c r="I19" s="34">
        <v>8</v>
      </c>
    </row>
    <row r="20" spans="2:16" x14ac:dyDescent="0.25">
      <c r="B20" s="14" t="s">
        <v>14</v>
      </c>
      <c r="C20" s="38"/>
      <c r="D20" s="13">
        <f>D43</f>
        <v>12624702.859999999</v>
      </c>
      <c r="E20" s="13">
        <f t="shared" ref="E20:H20" si="5">E43</f>
        <v>11221333.98</v>
      </c>
      <c r="F20" s="13">
        <f t="shared" si="5"/>
        <v>11761352.43</v>
      </c>
      <c r="G20" s="13">
        <f t="shared" si="5"/>
        <v>12795304.5</v>
      </c>
      <c r="H20" s="9">
        <f t="shared" si="5"/>
        <v>8680347.8100000005</v>
      </c>
      <c r="I20" s="34">
        <v>9</v>
      </c>
    </row>
    <row r="21" spans="2:16" ht="15.75" thickBot="1" x14ac:dyDescent="0.3">
      <c r="B21" s="14" t="s">
        <v>15</v>
      </c>
      <c r="C21" s="38"/>
      <c r="D21" s="13">
        <f>SUM(D45,D48:D52)+[1]GM!D13</f>
        <v>2196152.73</v>
      </c>
      <c r="E21" s="13">
        <f>SUM(E45,E48:E52)+[1]GM!E13</f>
        <v>2867344.3899999997</v>
      </c>
      <c r="F21" s="13">
        <f>SUM(F45,F48:F52)+[1]GM!F13</f>
        <v>4808827.0299999993</v>
      </c>
      <c r="G21" s="13">
        <f>SUM(G45,G48:G52)+[1]GM!G13</f>
        <v>4366843.6899999995</v>
      </c>
      <c r="H21" s="9">
        <f>SUM(H45,H48:H52)+[1]GM!H13</f>
        <v>3323722.35</v>
      </c>
      <c r="I21" s="34"/>
    </row>
    <row r="22" spans="2:16" ht="15.75" thickBot="1" x14ac:dyDescent="0.3">
      <c r="B22" s="15" t="s">
        <v>16</v>
      </c>
      <c r="C22" s="39"/>
      <c r="D22" s="16">
        <f>SUM(D18:D21)</f>
        <v>131497074.65100005</v>
      </c>
      <c r="E22" s="16">
        <f t="shared" ref="E22:H22" si="6">SUM(E18:E21)</f>
        <v>140032765.97099996</v>
      </c>
      <c r="F22" s="16">
        <f t="shared" si="6"/>
        <v>145940692.667</v>
      </c>
      <c r="G22" s="16">
        <f t="shared" si="6"/>
        <v>146299659.63200003</v>
      </c>
      <c r="H22" s="17">
        <f t="shared" si="6"/>
        <v>109221186.98599997</v>
      </c>
      <c r="I22" s="33"/>
    </row>
    <row r="24" spans="2:16" x14ac:dyDescent="0.25">
      <c r="B24" s="51" t="s">
        <v>53</v>
      </c>
    </row>
    <row r="25" spans="2:16" x14ac:dyDescent="0.25">
      <c r="B25" s="43" t="s">
        <v>39</v>
      </c>
      <c r="C25" s="37" t="s">
        <v>58</v>
      </c>
      <c r="D25" s="37"/>
      <c r="E25" s="37"/>
    </row>
    <row r="26" spans="2:16" x14ac:dyDescent="0.25">
      <c r="B26" s="43" t="s">
        <v>40</v>
      </c>
      <c r="C26" s="37" t="s">
        <v>59</v>
      </c>
      <c r="D26" s="37"/>
      <c r="E26" s="37"/>
    </row>
    <row r="27" spans="2:16" x14ac:dyDescent="0.25">
      <c r="B27" s="43" t="s">
        <v>41</v>
      </c>
      <c r="C27" s="37" t="s">
        <v>65</v>
      </c>
      <c r="D27" s="37"/>
      <c r="E27" s="37"/>
    </row>
    <row r="28" spans="2:16" x14ac:dyDescent="0.25">
      <c r="B28" s="44" t="s">
        <v>42</v>
      </c>
      <c r="C28" s="37" t="s">
        <v>47</v>
      </c>
      <c r="D28" s="37"/>
      <c r="E28" s="37"/>
    </row>
    <row r="29" spans="2:16" x14ac:dyDescent="0.25">
      <c r="B29" s="44" t="s">
        <v>43</v>
      </c>
      <c r="C29" s="37" t="s">
        <v>54</v>
      </c>
      <c r="D29" s="37"/>
      <c r="E29" s="37"/>
    </row>
    <row r="30" spans="2:16" x14ac:dyDescent="0.25">
      <c r="B30" s="44" t="s">
        <v>44</v>
      </c>
      <c r="C30" s="37" t="s">
        <v>35</v>
      </c>
      <c r="D30" s="37"/>
      <c r="E30" s="37"/>
    </row>
    <row r="31" spans="2:16" x14ac:dyDescent="0.25">
      <c r="B31" s="44" t="s">
        <v>45</v>
      </c>
      <c r="C31" s="37" t="s">
        <v>36</v>
      </c>
      <c r="D31" s="37"/>
      <c r="E31" s="37"/>
    </row>
    <row r="32" spans="2:16" x14ac:dyDescent="0.25">
      <c r="B32" s="44" t="s">
        <v>46</v>
      </c>
      <c r="C32" s="37" t="s">
        <v>55</v>
      </c>
      <c r="D32" s="37"/>
      <c r="E32" s="37"/>
    </row>
    <row r="33" spans="2:10" x14ac:dyDescent="0.25">
      <c r="B33" s="44" t="s">
        <v>48</v>
      </c>
      <c r="C33" s="49" t="s">
        <v>56</v>
      </c>
      <c r="D33" s="37"/>
      <c r="E33" s="37"/>
      <c r="J33" t="s">
        <v>57</v>
      </c>
    </row>
    <row r="34" spans="2:10" x14ac:dyDescent="0.25">
      <c r="B34" s="37"/>
      <c r="C34" s="50" t="s">
        <v>49</v>
      </c>
      <c r="D34" s="37"/>
      <c r="E34" s="37"/>
    </row>
    <row r="35" spans="2:10" x14ac:dyDescent="0.25">
      <c r="C35" s="50" t="s">
        <v>51</v>
      </c>
    </row>
    <row r="36" spans="2:10" x14ac:dyDescent="0.25">
      <c r="C36" s="50" t="s">
        <v>50</v>
      </c>
      <c r="J36" t="s">
        <v>17</v>
      </c>
    </row>
    <row r="37" spans="2:10" x14ac:dyDescent="0.25">
      <c r="C37" s="50" t="s">
        <v>52</v>
      </c>
      <c r="J37" t="s">
        <v>18</v>
      </c>
    </row>
    <row r="38" spans="2:10" x14ac:dyDescent="0.25">
      <c r="C38" s="50"/>
    </row>
    <row r="39" spans="2:10" x14ac:dyDescent="0.25">
      <c r="C39" s="50"/>
    </row>
    <row r="40" spans="2:10" x14ac:dyDescent="0.25">
      <c r="B40" t="s">
        <v>30</v>
      </c>
      <c r="D40" s="18">
        <f>D22-D42-[1]GM!D21-[1]GM!D4</f>
        <v>3.7252902984619141E-8</v>
      </c>
      <c r="E40" s="18">
        <f>E22-E42-[1]GM!E21-[1]GM!E4</f>
        <v>-3.7252902984619141E-8</v>
      </c>
      <c r="F40" s="18">
        <f>F22-F42-[1]GM!F21-[1]GM!F4</f>
        <v>7.4505805969238281E-9</v>
      </c>
      <c r="G40" s="18">
        <f>G22-G42-[1]GM!G21-[1]GM!G4</f>
        <v>0</v>
      </c>
      <c r="H40" s="18">
        <f>H22-H42-[1]GM!H21-[1]GM!H4</f>
        <v>-2.0489096641540527E-8</v>
      </c>
    </row>
    <row r="42" spans="2:10" x14ac:dyDescent="0.25">
      <c r="B42" s="30" t="str">
        <f>[1]Summary!B20</f>
        <v>Bonusing split</v>
      </c>
      <c r="C42" s="40"/>
      <c r="D42" s="31">
        <f>[1]Summary!C20</f>
        <v>89733323.219999999</v>
      </c>
      <c r="E42" s="31">
        <f>[1]Summary!D20</f>
        <v>92633373.709999993</v>
      </c>
      <c r="F42" s="31">
        <f>[1]Summary!E20</f>
        <v>93351507.870000005</v>
      </c>
      <c r="G42" s="31">
        <f>[1]Summary!F20</f>
        <v>89147211.030000001</v>
      </c>
      <c r="H42" s="32">
        <f>[1]Summary!G20</f>
        <v>62916129.610000014</v>
      </c>
    </row>
    <row r="43" spans="2:10" x14ac:dyDescent="0.25">
      <c r="B43" s="20" t="str">
        <f>[1]Summary!B21</f>
        <v>Rewards Amount</v>
      </c>
      <c r="C43" s="37"/>
      <c r="D43" s="21">
        <f>[1]Summary!C21</f>
        <v>12624702.859999999</v>
      </c>
      <c r="E43" s="21">
        <f>[1]Summary!D21</f>
        <v>11221333.98</v>
      </c>
      <c r="F43" s="21">
        <f>[1]Summary!E21</f>
        <v>11761352.43</v>
      </c>
      <c r="G43" s="21">
        <f>[1]Summary!F21</f>
        <v>12795304.5</v>
      </c>
      <c r="H43" s="22">
        <f>[1]Summary!G21</f>
        <v>8680347.8100000005</v>
      </c>
    </row>
    <row r="44" spans="2:10" x14ac:dyDescent="0.25">
      <c r="B44" s="20" t="str">
        <f>[1]Summary!B22</f>
        <v>Free Credits Program</v>
      </c>
      <c r="C44" s="37"/>
      <c r="D44" s="21">
        <f>[1]Summary!C22</f>
        <v>25961174.460000001</v>
      </c>
      <c r="E44" s="21">
        <f>[1]Summary!D22</f>
        <v>23679647.640000004</v>
      </c>
      <c r="F44" s="21">
        <f>[1]Summary!E22</f>
        <v>23410326.359999999</v>
      </c>
      <c r="G44" s="21">
        <f>[1]Summary!F22</f>
        <v>23402647.680000003</v>
      </c>
      <c r="H44" s="22">
        <f>[1]Summary!G22</f>
        <v>14863300.16</v>
      </c>
    </row>
    <row r="45" spans="2:10" x14ac:dyDescent="0.25">
      <c r="B45" s="20" t="str">
        <f>[1]Summary!B23</f>
        <v>Member Consolations</v>
      </c>
      <c r="C45" s="37"/>
      <c r="D45" s="8">
        <f>[1]Summary!C23</f>
        <v>0</v>
      </c>
      <c r="E45" s="8">
        <f>[1]Summary!D23</f>
        <v>0</v>
      </c>
      <c r="F45" s="8">
        <f>[1]Summary!E23</f>
        <v>0.04</v>
      </c>
      <c r="G45" s="8">
        <f>[1]Summary!F23</f>
        <v>58229.979999999989</v>
      </c>
      <c r="H45" s="23">
        <f>[1]Summary!G23</f>
        <v>26.88</v>
      </c>
    </row>
    <row r="46" spans="2:10" x14ac:dyDescent="0.25">
      <c r="B46" s="20" t="str">
        <f>[1]Summary!B24</f>
        <v>MAIL OUTS</v>
      </c>
      <c r="C46" s="37"/>
      <c r="D46" s="21">
        <f>[1]Summary!C24</f>
        <v>2986128.7900000005</v>
      </c>
      <c r="E46" s="21">
        <f>[1]Summary!D24</f>
        <v>2553433.17</v>
      </c>
      <c r="F46" s="21">
        <f>[1]Summary!E24</f>
        <v>1427504.9999999998</v>
      </c>
      <c r="G46" s="21">
        <f>[1]Summary!F24</f>
        <v>1125856.94</v>
      </c>
      <c r="H46" s="22">
        <f>[1]Summary!G24</f>
        <v>786524.64</v>
      </c>
    </row>
    <row r="47" spans="2:10" x14ac:dyDescent="0.25">
      <c r="B47" s="20" t="str">
        <f>[1]Summary!B25</f>
        <v>MATCHPLAY</v>
      </c>
      <c r="C47" s="37"/>
      <c r="D47" s="21">
        <f>[1]Summary!C25</f>
        <v>46065714.960000008</v>
      </c>
      <c r="E47" s="21">
        <f>[1]Summary!D25</f>
        <v>52378458.169999994</v>
      </c>
      <c r="F47" s="21">
        <f>[1]Summary!E25</f>
        <v>51975553.07</v>
      </c>
      <c r="G47" s="21">
        <f>[1]Summary!F25</f>
        <v>47592059.719999999</v>
      </c>
      <c r="H47" s="22">
        <f>[1]Summary!G25</f>
        <v>35329787.280000009</v>
      </c>
    </row>
    <row r="48" spans="2:10" x14ac:dyDescent="0.25">
      <c r="B48" s="20" t="str">
        <f>[1]Summary!B26</f>
        <v>MISCELLANEOUS</v>
      </c>
      <c r="C48" s="37"/>
      <c r="D48" s="8">
        <f>[1]Summary!C26</f>
        <v>1464424.1600000001</v>
      </c>
      <c r="E48" s="8">
        <f>[1]Summary!D26</f>
        <v>1504659.17</v>
      </c>
      <c r="F48" s="8">
        <f>[1]Summary!E26</f>
        <v>1177060.4199999997</v>
      </c>
      <c r="G48" s="8">
        <f>[1]Summary!F26</f>
        <v>418367.24</v>
      </c>
      <c r="H48" s="23">
        <f>[1]Summary!G26</f>
        <v>810665.58999999985</v>
      </c>
    </row>
    <row r="49" spans="2:8" x14ac:dyDescent="0.25">
      <c r="B49" s="20" t="str">
        <f>[1]Summary!B27</f>
        <v>RANDOM RICHES PROMO</v>
      </c>
      <c r="C49" s="37"/>
      <c r="D49" s="8">
        <f>[1]Summary!C27</f>
        <v>0</v>
      </c>
      <c r="E49" s="8">
        <f>[1]Summary!D27</f>
        <v>272588.11</v>
      </c>
      <c r="F49" s="8">
        <f>[1]Summary!E27</f>
        <v>2487372.75</v>
      </c>
      <c r="G49" s="8">
        <f>[1]Summary!F27</f>
        <v>2927373.8799999994</v>
      </c>
      <c r="H49" s="23">
        <f>[1]Summary!G27</f>
        <v>1865807.4800000002</v>
      </c>
    </row>
    <row r="50" spans="2:8" x14ac:dyDescent="0.25">
      <c r="B50" s="20" t="str">
        <f>[1]Summary!B28</f>
        <v>CONSOLATION PRIZES</v>
      </c>
      <c r="C50" s="37"/>
      <c r="D50" s="8">
        <f>[1]Summary!C28</f>
        <v>631177.99</v>
      </c>
      <c r="E50" s="8">
        <f>[1]Summary!D28</f>
        <v>1023253.4699999999</v>
      </c>
      <c r="F50" s="8">
        <f>[1]Summary!E28</f>
        <v>623242.80000000005</v>
      </c>
      <c r="G50" s="8">
        <f>[1]Summary!F28</f>
        <v>278031.09000000003</v>
      </c>
      <c r="H50" s="23">
        <f>[1]Summary!G28</f>
        <v>181002.77000000002</v>
      </c>
    </row>
    <row r="51" spans="2:8" x14ac:dyDescent="0.25">
      <c r="B51" s="20" t="str">
        <f>[1]Summary!B29</f>
        <v>POKIE CREDIT TCKT TOTAL</v>
      </c>
      <c r="C51" s="37"/>
      <c r="D51" s="8">
        <f>[1]Summary!C29</f>
        <v>0</v>
      </c>
      <c r="E51" s="8">
        <f>[1]Summary!D29</f>
        <v>0</v>
      </c>
      <c r="F51" s="8">
        <f>[1]Summary!E29</f>
        <v>301555</v>
      </c>
      <c r="G51" s="8">
        <f>[1]Summary!F29</f>
        <v>549340</v>
      </c>
      <c r="H51" s="23">
        <f>[1]Summary!G29</f>
        <v>398667</v>
      </c>
    </row>
    <row r="52" spans="2:8" x14ac:dyDescent="0.25">
      <c r="B52" s="20" t="str">
        <f>[1]Summary!B30</f>
        <v>PROMOTIONAL TICKETS</v>
      </c>
      <c r="C52" s="37"/>
      <c r="D52" s="8">
        <f>[1]Summary!C30</f>
        <v>0</v>
      </c>
      <c r="E52" s="8">
        <f>[1]Summary!D30</f>
        <v>0</v>
      </c>
      <c r="F52" s="8">
        <f>[1]Summary!E30</f>
        <v>187540</v>
      </c>
      <c r="G52" s="8">
        <f>[1]Summary!F30</f>
        <v>0</v>
      </c>
      <c r="H52" s="23">
        <f>[1]Summary!G30</f>
        <v>0</v>
      </c>
    </row>
    <row r="53" spans="2:8" x14ac:dyDescent="0.25">
      <c r="B53" s="24" t="str">
        <f>[1]Summary!B31</f>
        <v>Progam Promotions</v>
      </c>
      <c r="C53" s="41"/>
      <c r="D53" s="25">
        <f>[1]Summary!C31</f>
        <v>0</v>
      </c>
      <c r="E53" s="25">
        <f>[1]Summary!D31</f>
        <v>0</v>
      </c>
      <c r="F53" s="25">
        <f>[1]Summary!E31</f>
        <v>0</v>
      </c>
      <c r="G53" s="25">
        <f>[1]Summary!F31</f>
        <v>0</v>
      </c>
      <c r="H53" s="26">
        <f>[1]Summary!G31</f>
        <v>0</v>
      </c>
    </row>
    <row r="54" spans="2:8" x14ac:dyDescent="0.25">
      <c r="B54" s="24" t="str">
        <f>[1]Summary!B32</f>
        <v>Birthday Promotions</v>
      </c>
      <c r="C54" s="41"/>
      <c r="D54" s="25">
        <f>[1]Summary!C32</f>
        <v>0</v>
      </c>
      <c r="E54" s="25">
        <f>[1]Summary!D32</f>
        <v>0</v>
      </c>
      <c r="F54" s="25">
        <f>[1]Summary!E32</f>
        <v>0</v>
      </c>
      <c r="G54" s="25">
        <f>[1]Summary!F32</f>
        <v>0</v>
      </c>
      <c r="H54" s="26">
        <f>[1]Summary!G32</f>
        <v>0</v>
      </c>
    </row>
    <row r="55" spans="2:8" x14ac:dyDescent="0.25">
      <c r="B55" s="24" t="str">
        <f>[1]Summary!B33</f>
        <v>Country Members</v>
      </c>
      <c r="C55" s="41"/>
      <c r="D55" s="25">
        <f>[1]Summary!C33</f>
        <v>0</v>
      </c>
      <c r="E55" s="25">
        <f>[1]Summary!D33</f>
        <v>0</v>
      </c>
      <c r="F55" s="25">
        <f>[1]Summary!E33</f>
        <v>0</v>
      </c>
      <c r="G55" s="25">
        <f>[1]Summary!F33</f>
        <v>0</v>
      </c>
      <c r="H55" s="26">
        <f>[1]Summary!G33</f>
        <v>0</v>
      </c>
    </row>
    <row r="56" spans="2:8" x14ac:dyDescent="0.25">
      <c r="B56" s="27" t="str">
        <f>[1]Summary!B34</f>
        <v>Incentive Programs</v>
      </c>
      <c r="C56" s="42"/>
      <c r="D56" s="28">
        <f>[1]Summary!C34</f>
        <v>0</v>
      </c>
      <c r="E56" s="28">
        <f>[1]Summary!D34</f>
        <v>0</v>
      </c>
      <c r="F56" s="28">
        <f>[1]Summary!E34</f>
        <v>0</v>
      </c>
      <c r="G56" s="28">
        <f>[1]Summary!F34</f>
        <v>0</v>
      </c>
      <c r="H56" s="29">
        <f>[1]Summary!G34</f>
        <v>0</v>
      </c>
    </row>
  </sheetData>
  <pageMargins left="0.70866141732283472" right="0.70866141732283472" top="0.74803149606299213" bottom="0.74803149606299213" header="0.31496062992125984" footer="0.31496062992125984"/>
  <pageSetup paperSize="9" scale="91" orientation="portrait" verticalDpi="1200" r:id="rId1"/>
  <ignoredErrors>
    <ignoredError sqref="B25: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R20"/>
  <sheetViews>
    <sheetView zoomScale="110" zoomScaleNormal="110" workbookViewId="0">
      <selection activeCell="M6" sqref="M6"/>
    </sheetView>
  </sheetViews>
  <sheetFormatPr defaultRowHeight="15" x14ac:dyDescent="0.25"/>
  <cols>
    <col min="2" max="2" width="4.7109375" customWidth="1"/>
    <col min="3" max="3" width="42" customWidth="1"/>
    <col min="4" max="8" width="8.85546875" customWidth="1"/>
    <col min="9" max="9" width="5.42578125" bestFit="1" customWidth="1"/>
    <col min="12" max="12" width="23" bestFit="1" customWidth="1"/>
    <col min="13" max="18" width="10.28515625" customWidth="1"/>
  </cols>
  <sheetData>
    <row r="2" spans="2:18" ht="15.75" thickBot="1" x14ac:dyDescent="0.3"/>
    <row r="3" spans="2:18" ht="15.75" thickBot="1" x14ac:dyDescent="0.3">
      <c r="B3" s="1" t="s">
        <v>13</v>
      </c>
      <c r="C3" s="35"/>
      <c r="D3" s="2" t="s">
        <v>1</v>
      </c>
      <c r="E3" s="2" t="s">
        <v>2</v>
      </c>
      <c r="F3" s="2" t="s">
        <v>3</v>
      </c>
      <c r="G3" s="2" t="s">
        <v>4</v>
      </c>
      <c r="H3" s="3" t="s">
        <v>5</v>
      </c>
      <c r="I3" s="3" t="s">
        <v>38</v>
      </c>
      <c r="L3" s="11" t="s">
        <v>81</v>
      </c>
    </row>
    <row r="4" spans="2:18" ht="15.75" thickBot="1" x14ac:dyDescent="0.3">
      <c r="B4" s="4" t="s">
        <v>6</v>
      </c>
      <c r="C4" s="36"/>
      <c r="D4" s="5">
        <f>VLOOKUP($B4,[8]Summary!$B$4:$G$13,COLUMN([8]Summary!B:$G),0)</f>
        <v>0</v>
      </c>
      <c r="E4" s="5">
        <f>VLOOKUP($B4,[8]Summary!$B$4:$G$13,COLUMN([8]Summary!C:$G),0)</f>
        <v>0</v>
      </c>
      <c r="F4" s="5">
        <f>VLOOKUP($B4,[8]Summary!$B$4:$G$13,COLUMN([8]Summary!D:$G),0)</f>
        <v>150850</v>
      </c>
      <c r="G4" s="5">
        <f>VLOOKUP($B4,[8]Summary!$B$4:$G$13,COLUMN([8]Summary!E:$G),0)</f>
        <v>1401856.0000000005</v>
      </c>
      <c r="H4" s="6">
        <f>VLOOKUP($B4,[8]Summary!$B$4:$G$13,COLUMN([8]Summary!F:$G),0)</f>
        <v>845093</v>
      </c>
      <c r="I4" s="34">
        <v>1</v>
      </c>
      <c r="L4" s="58" t="s">
        <v>82</v>
      </c>
      <c r="M4" s="59" t="s">
        <v>1</v>
      </c>
      <c r="N4" s="59" t="s">
        <v>2</v>
      </c>
      <c r="O4" s="59" t="s">
        <v>3</v>
      </c>
      <c r="P4" s="59" t="s">
        <v>4</v>
      </c>
      <c r="Q4" s="60" t="s">
        <v>5</v>
      </c>
      <c r="R4" s="61" t="s">
        <v>83</v>
      </c>
    </row>
    <row r="5" spans="2:18" x14ac:dyDescent="0.25">
      <c r="B5" s="7" t="s">
        <v>7</v>
      </c>
      <c r="C5" s="37"/>
      <c r="D5" s="8">
        <f>VLOOKUP($B5,[8]Summary!$B$4:$G$13,COLUMN([8]Summary!B:$G),0)</f>
        <v>9263587.1100000013</v>
      </c>
      <c r="E5" s="8">
        <f>VLOOKUP($B5,[8]Summary!$B$4:$G$13,COLUMN([8]Summary!C:$G),0)</f>
        <v>11369662.189999999</v>
      </c>
      <c r="F5" s="8">
        <f>VLOOKUP($B5,[8]Summary!$B$4:$G$13,COLUMN([8]Summary!D:$G),0)</f>
        <v>9593602.4000000004</v>
      </c>
      <c r="G5" s="8">
        <f>VLOOKUP($B5,[8]Summary!$B$4:$G$13,COLUMN([8]Summary!E:$G),0)</f>
        <v>9324904.6499999985</v>
      </c>
      <c r="H5" s="9">
        <f>VLOOKUP($B5,[8]Summary!$B$4:$G$13,COLUMN([8]Summary!F:$G),0)</f>
        <v>7531727.4200000009</v>
      </c>
      <c r="I5" s="34">
        <v>2</v>
      </c>
      <c r="L5" s="7" t="s">
        <v>84</v>
      </c>
      <c r="M5" s="8">
        <f>'[8]NG and Room F&amp;B Split'!C5</f>
        <v>9032972.8349999972</v>
      </c>
      <c r="N5" s="8">
        <f>'[8]NG and Room F&amp;B Split'!D5</f>
        <v>9961171.9089999981</v>
      </c>
      <c r="O5" s="8">
        <f>'[8]NG and Room F&amp;B Split'!E5</f>
        <v>9819582.5980000012</v>
      </c>
      <c r="P5" s="8">
        <f>'[8]NG and Room F&amp;B Split'!F5</f>
        <v>11530928.08</v>
      </c>
      <c r="Q5" s="9">
        <f>'[8]NG and Room F&amp;B Split'!G5</f>
        <v>8936592.9900000002</v>
      </c>
      <c r="R5" s="62">
        <f>SUM(M5:Q5)</f>
        <v>49281248.412</v>
      </c>
    </row>
    <row r="6" spans="2:18" x14ac:dyDescent="0.25">
      <c r="B6" s="7" t="s">
        <v>8</v>
      </c>
      <c r="C6" s="37"/>
      <c r="D6" s="8">
        <f>VLOOKUP($B6,[8]Summary!$B$4:$G$13,COLUMN([8]Summary!B:$G),0)</f>
        <v>10858415.014999997</v>
      </c>
      <c r="E6" s="8">
        <f>VLOOKUP($B6,[8]Summary!$B$4:$G$13,COLUMN([8]Summary!C:$G),0)</f>
        <v>12018411.263999997</v>
      </c>
      <c r="F6" s="8">
        <f>VLOOKUP($B6,[8]Summary!$B$4:$G$13,COLUMN([8]Summary!D:$G),0)</f>
        <v>12082021.308</v>
      </c>
      <c r="G6" s="8">
        <f>VLOOKUP($B6,[8]Summary!$B$4:$G$13,COLUMN([8]Summary!E:$G),0)</f>
        <v>14337735.160000002</v>
      </c>
      <c r="H6" s="9">
        <f>VLOOKUP($B6,[8]Summary!$B$4:$G$13,COLUMN([8]Summary!F:$G),0)</f>
        <v>10474569.459999999</v>
      </c>
      <c r="I6" s="34">
        <v>3</v>
      </c>
      <c r="L6" s="7" t="s">
        <v>85</v>
      </c>
      <c r="M6" s="8">
        <f>'[8]NG and Room F&amp;B Split'!C6</f>
        <v>1825442.1800000002</v>
      </c>
      <c r="N6" s="8">
        <f>'[8]NG and Room F&amp;B Split'!D6</f>
        <v>2057239.3549999986</v>
      </c>
      <c r="O6" s="8">
        <f>'[8]NG and Room F&amp;B Split'!E6</f>
        <v>2262438.7099999981</v>
      </c>
      <c r="P6" s="8">
        <f>'[8]NG and Room F&amp;B Split'!F6</f>
        <v>2806807.0800000019</v>
      </c>
      <c r="Q6" s="9">
        <f>'[8]NG and Room F&amp;B Split'!G6</f>
        <v>1537976.469999999</v>
      </c>
      <c r="R6" s="62">
        <f>SUM(M6:Q6)</f>
        <v>10489903.794999998</v>
      </c>
    </row>
    <row r="7" spans="2:18" ht="15.75" thickBot="1" x14ac:dyDescent="0.3">
      <c r="B7" s="7" t="s">
        <v>9</v>
      </c>
      <c r="C7" s="37"/>
      <c r="D7" s="8">
        <f>VLOOKUP($B7,[8]Summary!$B$4:$G$13,COLUMN([8]Summary!B:$G),0)</f>
        <v>7581899.3049999988</v>
      </c>
      <c r="E7" s="8">
        <f>VLOOKUP($B7,[8]Summary!$B$4:$G$13,COLUMN([8]Summary!C:$G),0)</f>
        <v>8550818.2660000026</v>
      </c>
      <c r="F7" s="8">
        <f>VLOOKUP($B7,[8]Summary!$B$4:$G$13,COLUMN([8]Summary!D:$G),0)</f>
        <v>8176727.2700000005</v>
      </c>
      <c r="G7" s="8">
        <f>VLOOKUP($B7,[8]Summary!$B$4:$G$13,COLUMN([8]Summary!E:$G),0)</f>
        <v>9023301.2299999986</v>
      </c>
      <c r="H7" s="9">
        <f>VLOOKUP($B7,[8]Summary!$B$4:$G$13,COLUMN([8]Summary!F:$G),0)</f>
        <v>7145501.9400000023</v>
      </c>
      <c r="I7" s="34">
        <v>4</v>
      </c>
      <c r="L7" s="63" t="s">
        <v>86</v>
      </c>
      <c r="M7" s="64">
        <f>SUM(M5:M6)</f>
        <v>10858415.014999997</v>
      </c>
      <c r="N7" s="64">
        <f>SUM(N5:N6)</f>
        <v>12018411.263999997</v>
      </c>
      <c r="O7" s="64">
        <f>SUM(O5:O6)</f>
        <v>12082021.307999998</v>
      </c>
      <c r="P7" s="64">
        <f>SUM(P5:P6)</f>
        <v>14337735.160000002</v>
      </c>
      <c r="Q7" s="65">
        <f>SUM(Q5:Q6)</f>
        <v>10474569.459999999</v>
      </c>
      <c r="R7" s="66">
        <f>SUM(M7:Q7)</f>
        <v>59771152.206999995</v>
      </c>
    </row>
    <row r="8" spans="2:18" x14ac:dyDescent="0.25">
      <c r="B8" s="7" t="s">
        <v>10</v>
      </c>
      <c r="D8" s="8">
        <f>VLOOKUP($B8,[8]Summary!$B$4:$G$13,COLUMN([8]Summary!B:$G),0)</f>
        <v>17209944.939999994</v>
      </c>
      <c r="E8" s="8">
        <f>VLOOKUP($B8,[8]Summary!$B$4:$G$13,COLUMN([8]Summary!C:$G),0)</f>
        <v>17784457.594999984</v>
      </c>
      <c r="F8" s="8">
        <f>VLOOKUP($B8,[8]Summary!$B$4:$G$13,COLUMN([8]Summary!D:$G),0)</f>
        <v>19196620.632000014</v>
      </c>
      <c r="G8" s="8">
        <f>VLOOKUP($B8,[8]Summary!$B$4:$G$13,COLUMN([8]Summary!E:$G),0)</f>
        <v>21408300.951999985</v>
      </c>
      <c r="H8" s="9">
        <f>VLOOKUP($B8,[8]Summary!$B$4:$G$13,COLUMN([8]Summary!F:$G),0)</f>
        <v>16960719.160000008</v>
      </c>
      <c r="I8" s="34">
        <v>5</v>
      </c>
      <c r="L8" t="s">
        <v>87</v>
      </c>
      <c r="M8" s="8">
        <f>D6</f>
        <v>10858415.014999997</v>
      </c>
      <c r="N8" s="8">
        <f t="shared" ref="N8:Q8" si="0">E6</f>
        <v>12018411.263999997</v>
      </c>
      <c r="O8" s="8">
        <f t="shared" si="0"/>
        <v>12082021.308</v>
      </c>
      <c r="P8" s="8">
        <f t="shared" si="0"/>
        <v>14337735.160000002</v>
      </c>
      <c r="Q8" s="8">
        <f t="shared" si="0"/>
        <v>10474569.459999999</v>
      </c>
    </row>
    <row r="9" spans="2:18" ht="15.75" thickBot="1" x14ac:dyDescent="0.3">
      <c r="B9" s="10" t="s">
        <v>11</v>
      </c>
      <c r="D9" s="8">
        <f>VLOOKUP($B9,[8]Summary!$B$4:$G$13,COLUMN([8]Summary!B:$G),0)</f>
        <v>11198133.380000003</v>
      </c>
      <c r="E9" s="8">
        <f>VLOOKUP($B9,[8]Summary!$B$4:$G$13,COLUMN([8]Summary!C:$G),0)</f>
        <v>11007911.409999993</v>
      </c>
      <c r="F9" s="8">
        <f>VLOOKUP($B9,[8]Summary!$B$4:$G$13,COLUMN([8]Summary!D:$G),0)</f>
        <v>11750691.587000005</v>
      </c>
      <c r="G9" s="8">
        <f>VLOOKUP($B9,[8]Summary!$B$4:$G$13,COLUMN([8]Summary!E:$G),0)</f>
        <v>12062848.440000003</v>
      </c>
      <c r="H9" s="9">
        <f>VLOOKUP($B9,[8]Summary!$B$4:$G$13,COLUMN([8]Summary!F:$G),0)</f>
        <v>10356231.440000009</v>
      </c>
      <c r="I9" s="34">
        <v>6</v>
      </c>
      <c r="M9" s="67"/>
      <c r="N9" s="67"/>
      <c r="O9" s="67"/>
      <c r="P9" s="67"/>
      <c r="Q9" s="67"/>
    </row>
    <row r="10" spans="2:18" ht="15.75" thickBot="1" x14ac:dyDescent="0.3">
      <c r="B10" s="15" t="s">
        <v>16</v>
      </c>
      <c r="C10" s="39"/>
      <c r="D10" s="16">
        <f>SUM(D4:D9)</f>
        <v>56111979.749999993</v>
      </c>
      <c r="E10" s="16">
        <f t="shared" ref="E10:G10" si="1">SUM(E4:E9)</f>
        <v>60731260.724999979</v>
      </c>
      <c r="F10" s="16">
        <f t="shared" si="1"/>
        <v>60950513.197000019</v>
      </c>
      <c r="G10" s="16">
        <f t="shared" si="1"/>
        <v>67558946.431999981</v>
      </c>
      <c r="H10" s="17">
        <f>SUM(H4:H9)</f>
        <v>53313842.420000017</v>
      </c>
      <c r="I10" s="52"/>
      <c r="M10" s="67"/>
      <c r="N10" s="67"/>
      <c r="O10" s="67"/>
      <c r="P10" s="67"/>
      <c r="Q10" s="67"/>
    </row>
    <row r="11" spans="2:18" ht="15.75" thickBot="1" x14ac:dyDescent="0.3">
      <c r="I11" s="53"/>
      <c r="L11" s="58" t="s">
        <v>88</v>
      </c>
      <c r="M11" s="59" t="s">
        <v>1</v>
      </c>
      <c r="N11" s="59" t="s">
        <v>2</v>
      </c>
      <c r="O11" s="59" t="s">
        <v>3</v>
      </c>
      <c r="P11" s="59" t="s">
        <v>4</v>
      </c>
      <c r="Q11" s="60" t="s">
        <v>5</v>
      </c>
      <c r="R11" s="61" t="s">
        <v>83</v>
      </c>
    </row>
    <row r="12" spans="2:18" x14ac:dyDescent="0.25">
      <c r="I12" s="54"/>
      <c r="L12" s="7" t="s">
        <v>89</v>
      </c>
      <c r="M12" s="8">
        <f>[9]Summary!$H$6+[9]Summary!$H$7</f>
        <v>5384339.0749999983</v>
      </c>
      <c r="N12" s="8">
        <f>[10]Summary!$H$6+[10]Summary!$H$7</f>
        <v>5699308.5760000013</v>
      </c>
      <c r="O12" s="8">
        <f>[11]Summary!$H$6+[11]Summary!$H$7</f>
        <v>5325094.8600000013</v>
      </c>
      <c r="P12" s="8">
        <f>[12]Summary!$H$6+[12]Summary!$H$7</f>
        <v>6306156.9399999995</v>
      </c>
      <c r="Q12" s="9">
        <f>[13]Summary!$H$7+[13]Summary!$H$6</f>
        <v>5074395.0200000014</v>
      </c>
      <c r="R12" s="62">
        <f t="shared" ref="R12:R15" si="2">SUM(M12:Q12)</f>
        <v>27789294.471000001</v>
      </c>
    </row>
    <row r="13" spans="2:18" x14ac:dyDescent="0.25">
      <c r="B13" s="51" t="s">
        <v>53</v>
      </c>
      <c r="I13" s="54"/>
      <c r="L13" s="7" t="s">
        <v>90</v>
      </c>
      <c r="M13" s="8">
        <f>[9]Summary!$H$8</f>
        <v>2150186.0299999998</v>
      </c>
      <c r="N13" s="8">
        <f>[10]Summary!$H$8</f>
        <v>2802714.21</v>
      </c>
      <c r="O13" s="8">
        <f>[11]Summary!$H$8</f>
        <v>2644060.8199999994</v>
      </c>
      <c r="P13" s="8">
        <f>[12]Summary!$H$8</f>
        <v>2450927.5300000003</v>
      </c>
      <c r="Q13" s="9">
        <f>[13]Summary!$H$8</f>
        <v>1707296.1800000004</v>
      </c>
      <c r="R13" s="62">
        <f t="shared" si="2"/>
        <v>11755184.77</v>
      </c>
    </row>
    <row r="14" spans="2:18" x14ac:dyDescent="0.25">
      <c r="B14" s="43" t="s">
        <v>39</v>
      </c>
      <c r="C14" s="37" t="s">
        <v>60</v>
      </c>
      <c r="I14" s="54"/>
      <c r="L14" s="7" t="s">
        <v>91</v>
      </c>
      <c r="M14" s="8">
        <f>[9]Summary!$H$9</f>
        <v>0</v>
      </c>
      <c r="N14" s="8">
        <f>[10]Summary!$H$9</f>
        <v>0</v>
      </c>
      <c r="O14" s="8">
        <f>[11]Summary!$H$9</f>
        <v>0</v>
      </c>
      <c r="P14" s="8">
        <f>[12]Summary!$H$9</f>
        <v>0</v>
      </c>
      <c r="Q14" s="9">
        <f>[13]Summary!$H$9</f>
        <v>159156.68000000002</v>
      </c>
      <c r="R14" s="62">
        <f t="shared" si="2"/>
        <v>159156.68000000002</v>
      </c>
    </row>
    <row r="15" spans="2:18" ht="15.75" thickBot="1" x14ac:dyDescent="0.3">
      <c r="B15" s="43" t="s">
        <v>40</v>
      </c>
      <c r="C15" s="37" t="s">
        <v>61</v>
      </c>
      <c r="I15" s="37"/>
      <c r="L15" s="63" t="str">
        <f>L7</f>
        <v>Total</v>
      </c>
      <c r="M15" s="64">
        <f>SUM(M12:M14)</f>
        <v>7534525.1049999986</v>
      </c>
      <c r="N15" s="64">
        <f>SUM(N12:N14)</f>
        <v>8502022.7860000022</v>
      </c>
      <c r="O15" s="64">
        <f>SUM(O12:O14)</f>
        <v>7969155.6800000006</v>
      </c>
      <c r="P15" s="64">
        <f>SUM(P12:P14)</f>
        <v>8757084.4699999988</v>
      </c>
      <c r="Q15" s="65">
        <f>SUM(Q12:Q14)</f>
        <v>6940847.8800000018</v>
      </c>
      <c r="R15" s="66">
        <f t="shared" si="2"/>
        <v>39703635.921000004</v>
      </c>
    </row>
    <row r="16" spans="2:18" x14ac:dyDescent="0.25">
      <c r="C16" t="s">
        <v>62</v>
      </c>
      <c r="L16" t="s">
        <v>87</v>
      </c>
      <c r="M16" s="8">
        <f>D7</f>
        <v>7581899.3049999988</v>
      </c>
      <c r="N16" s="8">
        <f t="shared" ref="N16:Q16" si="3">E7</f>
        <v>8550818.2660000026</v>
      </c>
      <c r="O16" s="8">
        <f t="shared" si="3"/>
        <v>8176727.2700000005</v>
      </c>
      <c r="P16" s="8">
        <f t="shared" si="3"/>
        <v>9023301.2299999986</v>
      </c>
      <c r="Q16" s="8">
        <f t="shared" si="3"/>
        <v>7145501.9400000023</v>
      </c>
    </row>
    <row r="17" spans="2:17" x14ac:dyDescent="0.25">
      <c r="B17" s="43" t="s">
        <v>41</v>
      </c>
      <c r="C17" s="37" t="s">
        <v>65</v>
      </c>
      <c r="L17" t="s">
        <v>92</v>
      </c>
      <c r="M17" s="8">
        <f>M16-M15</f>
        <v>47374.200000000186</v>
      </c>
      <c r="N17" s="8">
        <f>N16-N15</f>
        <v>48795.480000000447</v>
      </c>
      <c r="O17" s="8">
        <f>O16-O15</f>
        <v>207571.58999999985</v>
      </c>
      <c r="P17" s="8">
        <f>P16-P15</f>
        <v>266216.75999999978</v>
      </c>
      <c r="Q17" s="8">
        <f>Q16-Q15</f>
        <v>204654.06000000052</v>
      </c>
    </row>
    <row r="18" spans="2:17" x14ac:dyDescent="0.25">
      <c r="B18" s="44" t="s">
        <v>42</v>
      </c>
      <c r="C18" s="37" t="s">
        <v>47</v>
      </c>
    </row>
    <row r="19" spans="2:17" x14ac:dyDescent="0.25">
      <c r="B19" s="44" t="s">
        <v>43</v>
      </c>
      <c r="C19" s="37" t="s">
        <v>63</v>
      </c>
    </row>
    <row r="20" spans="2:17" x14ac:dyDescent="0.25">
      <c r="B20" s="44" t="s">
        <v>44</v>
      </c>
      <c r="C20" s="37" t="s">
        <v>35</v>
      </c>
    </row>
  </sheetData>
  <pageMargins left="0.70866141732283472" right="0.70866141732283472" top="0.74803149606299213" bottom="0.74803149606299213" header="0.31496062992125984" footer="0.31496062992125984"/>
  <pageSetup paperSize="9" scale="91" orientation="portrait" verticalDpi="1200" r:id="rId1"/>
  <ignoredErrors>
    <ignoredError sqref="B14:B2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S41"/>
  <sheetViews>
    <sheetView zoomScale="110" zoomScaleNormal="110" workbookViewId="0">
      <selection activeCell="D14" sqref="D14"/>
    </sheetView>
  </sheetViews>
  <sheetFormatPr defaultRowHeight="15" x14ac:dyDescent="0.25"/>
  <cols>
    <col min="2" max="2" width="4.7109375" customWidth="1"/>
    <col min="3" max="3" width="49.42578125" customWidth="1"/>
    <col min="4" max="8" width="8.85546875" customWidth="1"/>
    <col min="9" max="9" width="5.42578125" bestFit="1" customWidth="1"/>
    <col min="10" max="12" width="5.42578125" style="55" customWidth="1"/>
  </cols>
  <sheetData>
    <row r="2" spans="2:19" ht="15.75" thickBot="1" x14ac:dyDescent="0.3"/>
    <row r="3" spans="2:19" x14ac:dyDescent="0.25">
      <c r="B3" s="1" t="s">
        <v>79</v>
      </c>
      <c r="C3" s="35"/>
      <c r="D3" s="2" t="s">
        <v>1</v>
      </c>
      <c r="E3" s="2" t="s">
        <v>2</v>
      </c>
      <c r="F3" s="2" t="s">
        <v>3</v>
      </c>
      <c r="G3" s="2" t="s">
        <v>4</v>
      </c>
      <c r="H3" s="3" t="s">
        <v>5</v>
      </c>
      <c r="I3" s="3" t="s">
        <v>38</v>
      </c>
      <c r="J3" s="56"/>
      <c r="K3" s="56"/>
      <c r="L3" s="56"/>
    </row>
    <row r="4" spans="2:19" x14ac:dyDescent="0.25">
      <c r="B4" s="4" t="s">
        <v>6</v>
      </c>
      <c r="D4" s="5">
        <f>[14]Summary!R3+[14]Summary!R9</f>
        <v>314313100.50000006</v>
      </c>
      <c r="E4" s="5">
        <f>[14]Summary!S3+[14]Summary!S9</f>
        <v>204304963.73999995</v>
      </c>
      <c r="F4" s="5">
        <f>[14]Summary!T3+[14]Summary!T9</f>
        <v>322968627.18999994</v>
      </c>
      <c r="G4" s="5">
        <f>[14]Summary!U3+[14]Summary!U9</f>
        <v>197122581.98000002</v>
      </c>
      <c r="H4" s="6">
        <f>[14]Summary!V3+[14]Summary!V9</f>
        <v>147159388.30000001</v>
      </c>
      <c r="I4" s="34">
        <v>1</v>
      </c>
      <c r="J4" s="57"/>
      <c r="K4" s="57"/>
      <c r="L4" s="57"/>
      <c r="M4" t="s">
        <v>32</v>
      </c>
    </row>
    <row r="5" spans="2:19" x14ac:dyDescent="0.25">
      <c r="B5" s="7" t="s">
        <v>7</v>
      </c>
      <c r="D5" s="8">
        <f>[15]Summary!W42</f>
        <v>25450975</v>
      </c>
      <c r="E5" s="8">
        <f>[15]Summary!X42</f>
        <v>10743189</v>
      </c>
      <c r="F5" s="8">
        <f>[15]Summary!Y42</f>
        <v>14158654</v>
      </c>
      <c r="G5" s="8">
        <f>[15]Summary!Z42</f>
        <v>8124597</v>
      </c>
      <c r="H5" s="9">
        <f>[15]Summary!AA42</f>
        <v>5563412</v>
      </c>
      <c r="I5" s="34">
        <v>2</v>
      </c>
      <c r="J5" s="57"/>
      <c r="K5" s="57"/>
      <c r="L5" s="57"/>
    </row>
    <row r="6" spans="2:19" x14ac:dyDescent="0.25">
      <c r="B6" s="7" t="s">
        <v>8</v>
      </c>
      <c r="D6" s="8">
        <f>[15]Summary!W43+'[16]SUMMARY CONCISE'!$H$31+[17]Summary!$H$10+[14]Summary!$R$12</f>
        <v>10724352.02</v>
      </c>
      <c r="E6" s="8">
        <f>[15]Summary!X43+'[16]SUMMARY CONCISE'!$G$31+[17]Summary!$G$10+[14]Summary!$S$12</f>
        <v>6513856.5499999998</v>
      </c>
      <c r="F6" s="8">
        <f>[15]Summary!Y43+'[16]SUMMARY CONCISE'!$F$31+[17]Summary!$F$10+[14]Summary!$T$12</f>
        <v>8505178.4199999999</v>
      </c>
      <c r="G6" s="8">
        <f>[15]Summary!Z43+'[16]SUMMARY CONCISE'!$E$31+[17]Summary!$E$10+[14]Summary!$U$12+[14]Summary!$U$10</f>
        <v>10622613.059999999</v>
      </c>
      <c r="H6" s="9">
        <f>[15]Summary!AA43+'[16]SUMMARY CONCISE'!$D$31+[17]Summary!$D$10+[14]Summary!$V$12</f>
        <v>5406980.7400000002</v>
      </c>
      <c r="I6" s="34">
        <v>3</v>
      </c>
      <c r="J6" s="57"/>
      <c r="K6" s="57"/>
      <c r="L6" s="57"/>
      <c r="M6" t="s">
        <v>33</v>
      </c>
    </row>
    <row r="7" spans="2:19" x14ac:dyDescent="0.25">
      <c r="B7" s="7" t="s">
        <v>9</v>
      </c>
      <c r="D7" s="8">
        <f>[18]Summary!D16</f>
        <v>4509466.3500000006</v>
      </c>
      <c r="E7" s="8">
        <f>[18]Summary!E16</f>
        <v>3958680.7090000007</v>
      </c>
      <c r="F7" s="8">
        <f>[18]Summary!F16</f>
        <v>3827926.74</v>
      </c>
      <c r="G7" s="8">
        <f>[18]Summary!G16</f>
        <v>3882754.4900000007</v>
      </c>
      <c r="H7" s="9">
        <f>[18]Summary!H16</f>
        <v>2792142.2100000004</v>
      </c>
      <c r="I7" s="34">
        <v>4</v>
      </c>
      <c r="J7" s="57"/>
      <c r="K7" s="57"/>
      <c r="L7" s="57"/>
    </row>
    <row r="8" spans="2:19" x14ac:dyDescent="0.25">
      <c r="B8" s="7" t="s">
        <v>10</v>
      </c>
      <c r="D8" s="8">
        <v>0</v>
      </c>
      <c r="E8" s="8">
        <v>0</v>
      </c>
      <c r="F8" s="8">
        <v>0</v>
      </c>
      <c r="G8" s="8">
        <v>0</v>
      </c>
      <c r="H8" s="9">
        <v>0</v>
      </c>
      <c r="I8" s="34"/>
      <c r="J8" s="57"/>
      <c r="K8" s="57"/>
      <c r="L8" s="57"/>
    </row>
    <row r="9" spans="2:19" x14ac:dyDescent="0.25">
      <c r="B9" s="7" t="s">
        <v>19</v>
      </c>
      <c r="D9" s="8">
        <f>[19]Summary!$H$16</f>
        <v>6348104.54</v>
      </c>
      <c r="E9" s="8">
        <f>[19]Summary!$G$16</f>
        <v>2280945.5500000003</v>
      </c>
      <c r="F9" s="8">
        <f>[19]Summary!$F$16</f>
        <v>3786506.8800000008</v>
      </c>
      <c r="G9" s="8">
        <f>[19]Summary!$E$16</f>
        <v>4788846.7799999993</v>
      </c>
      <c r="H9" s="9">
        <f>[19]Summary!$D$16</f>
        <v>3695001.2700000014</v>
      </c>
      <c r="I9" s="34">
        <v>5</v>
      </c>
      <c r="J9" s="57"/>
      <c r="K9" s="57"/>
      <c r="L9" s="57"/>
    </row>
    <row r="10" spans="2:19" hidden="1" x14ac:dyDescent="0.25">
      <c r="B10" s="45" t="s">
        <v>12</v>
      </c>
      <c r="D10" s="47">
        <f>SUM(D4:D9)</f>
        <v>361345998.41000009</v>
      </c>
      <c r="E10" s="47">
        <f t="shared" ref="E10:G10" si="0">SUM(E4:E9)</f>
        <v>227801635.54899997</v>
      </c>
      <c r="F10" s="47">
        <f t="shared" si="0"/>
        <v>353246893.22999996</v>
      </c>
      <c r="G10" s="47">
        <f t="shared" si="0"/>
        <v>224541393.31000003</v>
      </c>
      <c r="H10" s="48">
        <f>SUM(H4:H9)</f>
        <v>164616924.52000004</v>
      </c>
      <c r="I10" s="34">
        <v>6</v>
      </c>
    </row>
    <row r="11" spans="2:19" x14ac:dyDescent="0.25">
      <c r="B11" s="14" t="s">
        <v>70</v>
      </c>
      <c r="D11" s="8">
        <f>[14]Summary!R7</f>
        <v>4945305.4800000004</v>
      </c>
      <c r="E11" s="8">
        <f>[14]Summary!S7</f>
        <v>878061</v>
      </c>
      <c r="F11" s="8">
        <f>[14]Summary!T7</f>
        <v>1852545</v>
      </c>
      <c r="G11" s="8">
        <f>[14]Summary!U7</f>
        <v>2126311</v>
      </c>
      <c r="H11" s="9">
        <f>[14]Summary!V7</f>
        <v>750945.18</v>
      </c>
      <c r="I11" s="34">
        <v>6</v>
      </c>
      <c r="M11" s="13">
        <f>SUM(D11,D13)</f>
        <v>10866105.48</v>
      </c>
      <c r="N11" s="13">
        <f t="shared" ref="N11:Q11" si="1">SUM(E11,E13)</f>
        <v>2979761</v>
      </c>
      <c r="O11" s="13">
        <f t="shared" si="1"/>
        <v>5760208.3700000001</v>
      </c>
      <c r="P11" s="13">
        <f t="shared" si="1"/>
        <v>4690132</v>
      </c>
      <c r="Q11" s="13">
        <f t="shared" si="1"/>
        <v>1757645.19</v>
      </c>
      <c r="R11" s="12">
        <f>SUM(M11:Q11)</f>
        <v>26053852.040000003</v>
      </c>
      <c r="S11" t="s">
        <v>34</v>
      </c>
    </row>
    <row r="12" spans="2:19" x14ac:dyDescent="0.25">
      <c r="B12" s="14" t="s">
        <v>25</v>
      </c>
      <c r="D12" s="8">
        <f>[14]Summary!R5</f>
        <v>0</v>
      </c>
      <c r="E12" s="8">
        <f>[14]Summary!S5</f>
        <v>0</v>
      </c>
      <c r="F12" s="8">
        <f>[14]Summary!T5</f>
        <v>0</v>
      </c>
      <c r="G12" s="8">
        <f>[14]Summary!U5</f>
        <v>4289516</v>
      </c>
      <c r="H12" s="9">
        <f>[14]Summary!V5</f>
        <v>208503.64999999997</v>
      </c>
      <c r="I12" s="34">
        <v>7</v>
      </c>
    </row>
    <row r="13" spans="2:19" x14ac:dyDescent="0.25">
      <c r="B13" s="14" t="s">
        <v>26</v>
      </c>
      <c r="D13" s="8">
        <f>[14]Summary!R8</f>
        <v>5920800</v>
      </c>
      <c r="E13" s="8">
        <f>[14]Summary!S8</f>
        <v>2101700</v>
      </c>
      <c r="F13" s="8">
        <f>[14]Summary!T8</f>
        <v>3907663.37</v>
      </c>
      <c r="G13" s="8">
        <f>[14]Summary!U8</f>
        <v>2563821</v>
      </c>
      <c r="H13" s="9">
        <f>[14]Summary!V8</f>
        <v>1006700.01</v>
      </c>
      <c r="I13" s="34">
        <v>8</v>
      </c>
    </row>
    <row r="14" spans="2:19" ht="15.75" thickBot="1" x14ac:dyDescent="0.3">
      <c r="B14" s="14" t="s">
        <v>27</v>
      </c>
      <c r="D14" s="8">
        <f>[14]Summary!R11</f>
        <v>342807.31</v>
      </c>
      <c r="E14" s="8">
        <f>[14]Summary!S11</f>
        <v>31705.5</v>
      </c>
      <c r="F14" s="8">
        <f>[14]Summary!T11</f>
        <v>2142.8000000000002</v>
      </c>
      <c r="G14" s="8">
        <f>[14]Summary!U11</f>
        <v>33599</v>
      </c>
      <c r="H14" s="9">
        <f>[14]Summary!V11</f>
        <v>1241</v>
      </c>
      <c r="I14" s="34">
        <v>9</v>
      </c>
    </row>
    <row r="15" spans="2:19" ht="15.75" thickBot="1" x14ac:dyDescent="0.3">
      <c r="B15" s="15" t="s">
        <v>16</v>
      </c>
      <c r="C15" s="39"/>
      <c r="D15" s="16">
        <f>SUM(D10:D14)</f>
        <v>372554911.20000011</v>
      </c>
      <c r="E15" s="16">
        <f t="shared" ref="E15:H15" si="2">SUM(E10:E14)</f>
        <v>230813102.04899997</v>
      </c>
      <c r="F15" s="16">
        <f t="shared" si="2"/>
        <v>359009244.39999998</v>
      </c>
      <c r="G15" s="16">
        <f t="shared" si="2"/>
        <v>233554640.31000003</v>
      </c>
      <c r="H15" s="17">
        <f t="shared" si="2"/>
        <v>166584314.36000004</v>
      </c>
      <c r="I15" s="52"/>
    </row>
    <row r="18" spans="2:3" x14ac:dyDescent="0.25">
      <c r="B18" s="51" t="s">
        <v>53</v>
      </c>
    </row>
    <row r="19" spans="2:3" x14ac:dyDescent="0.25">
      <c r="B19" s="43" t="s">
        <v>39</v>
      </c>
      <c r="C19" s="37" t="s">
        <v>67</v>
      </c>
    </row>
    <row r="20" spans="2:3" x14ac:dyDescent="0.25">
      <c r="B20" s="43" t="s">
        <v>40</v>
      </c>
      <c r="C20" s="37" t="s">
        <v>64</v>
      </c>
    </row>
    <row r="21" spans="2:3" x14ac:dyDescent="0.25">
      <c r="B21" s="43" t="s">
        <v>41</v>
      </c>
      <c r="C21" s="37" t="s">
        <v>65</v>
      </c>
    </row>
    <row r="22" spans="2:3" x14ac:dyDescent="0.25">
      <c r="B22" s="43"/>
      <c r="C22" s="38" t="s">
        <v>71</v>
      </c>
    </row>
    <row r="23" spans="2:3" x14ac:dyDescent="0.25">
      <c r="B23" s="44" t="s">
        <v>42</v>
      </c>
      <c r="C23" s="37" t="s">
        <v>66</v>
      </c>
    </row>
    <row r="24" spans="2:3" x14ac:dyDescent="0.25">
      <c r="B24" s="44" t="s">
        <v>43</v>
      </c>
      <c r="C24" s="37" t="s">
        <v>72</v>
      </c>
    </row>
    <row r="25" spans="2:3" x14ac:dyDescent="0.25">
      <c r="B25" s="44" t="s">
        <v>44</v>
      </c>
      <c r="C25" s="38" t="s">
        <v>73</v>
      </c>
    </row>
    <row r="26" spans="2:3" x14ac:dyDescent="0.25">
      <c r="B26" s="44"/>
      <c r="C26" s="38" t="s">
        <v>74</v>
      </c>
    </row>
    <row r="27" spans="2:3" x14ac:dyDescent="0.25">
      <c r="B27" s="44" t="s">
        <v>45</v>
      </c>
      <c r="C27" s="38" t="s">
        <v>75</v>
      </c>
    </row>
    <row r="28" spans="2:3" x14ac:dyDescent="0.25">
      <c r="B28" s="44" t="s">
        <v>46</v>
      </c>
      <c r="C28" s="38" t="s">
        <v>76</v>
      </c>
    </row>
    <row r="29" spans="2:3" x14ac:dyDescent="0.25">
      <c r="C29" t="s">
        <v>77</v>
      </c>
    </row>
    <row r="30" spans="2:3" x14ac:dyDescent="0.25">
      <c r="B30" s="44" t="s">
        <v>48</v>
      </c>
      <c r="C30" s="55" t="s">
        <v>78</v>
      </c>
    </row>
    <row r="31" spans="2:3" x14ac:dyDescent="0.25">
      <c r="B31" s="44"/>
      <c r="C31" s="37"/>
    </row>
    <row r="32" spans="2:3" x14ac:dyDescent="0.25">
      <c r="B32" s="44"/>
      <c r="C32" s="37"/>
    </row>
    <row r="33" spans="3:8" x14ac:dyDescent="0.25">
      <c r="C33" s="11" t="s">
        <v>31</v>
      </c>
    </row>
    <row r="34" spans="3:8" x14ac:dyDescent="0.25">
      <c r="C34" t="s">
        <v>20</v>
      </c>
      <c r="D34" s="8">
        <f>[14]Summary!R14</f>
        <v>325522013.28999996</v>
      </c>
      <c r="E34" s="8">
        <f>[14]Summary!S14</f>
        <v>207316430.23999998</v>
      </c>
      <c r="F34" s="8">
        <f>[14]Summary!T14</f>
        <v>328730978.36000001</v>
      </c>
      <c r="G34" s="8">
        <f>[14]Summary!U14</f>
        <v>206342585.17000002</v>
      </c>
      <c r="H34" s="8">
        <f>[14]Summary!V14</f>
        <v>149128579.13999999</v>
      </c>
    </row>
    <row r="35" spans="3:8" x14ac:dyDescent="0.25">
      <c r="C35" t="s">
        <v>21</v>
      </c>
      <c r="D35" s="8">
        <f>[15]Summary!W44</f>
        <v>34822619</v>
      </c>
      <c r="E35" s="8">
        <f>[15]Summary!X44</f>
        <v>15965715</v>
      </c>
      <c r="F35" s="8">
        <f>[15]Summary!Y44</f>
        <v>21664363</v>
      </c>
      <c r="G35" s="8">
        <f>[15]Summary!Z44</f>
        <v>17406956</v>
      </c>
      <c r="H35" s="8">
        <f>[15]Summary!AA44</f>
        <v>10248227</v>
      </c>
    </row>
    <row r="36" spans="3:8" x14ac:dyDescent="0.25">
      <c r="C36" t="s">
        <v>22</v>
      </c>
      <c r="D36" s="8">
        <f>[19]Summary!$H$16</f>
        <v>6348104.54</v>
      </c>
      <c r="E36" s="8">
        <f>[19]Summary!$G$16</f>
        <v>2280945.5500000003</v>
      </c>
      <c r="F36" s="8">
        <f>[19]Summary!$F$16</f>
        <v>3786506.8800000008</v>
      </c>
      <c r="G36" s="8">
        <f>[19]Summary!$E$16</f>
        <v>4788846.7799999993</v>
      </c>
      <c r="H36" s="8">
        <f>[19]Summary!$D$16</f>
        <v>3695001.2700000014</v>
      </c>
    </row>
    <row r="37" spans="3:8" x14ac:dyDescent="0.25">
      <c r="C37" t="s">
        <v>23</v>
      </c>
      <c r="D37" s="8">
        <f>'[16]SUMMARY CONCISE'!$H$31</f>
        <v>1352708.0199999998</v>
      </c>
      <c r="E37" s="8">
        <f>'[16]SUMMARY CONCISE'!$G$31</f>
        <v>1258760.6899999997</v>
      </c>
      <c r="F37" s="8">
        <f>'[16]SUMMARY CONCISE'!$F$31</f>
        <v>933564.88</v>
      </c>
      <c r="G37" s="8">
        <f>'[16]SUMMARY CONCISE'!$E$31</f>
        <v>1072981.58</v>
      </c>
      <c r="H37" s="8">
        <f>'[16]SUMMARY CONCISE'!$D$31</f>
        <v>697486.69000000006</v>
      </c>
    </row>
    <row r="38" spans="3:8" x14ac:dyDescent="0.25">
      <c r="C38" t="s">
        <v>24</v>
      </c>
      <c r="D38" s="8">
        <f>[17]Summary!$H$12</f>
        <v>0</v>
      </c>
      <c r="E38" s="8">
        <f>[17]Summary!$G$12</f>
        <v>32569.86</v>
      </c>
      <c r="F38" s="8">
        <f>[17]Summary!$F$12</f>
        <v>65904.540000000008</v>
      </c>
      <c r="G38" s="8">
        <f>[17]Summary!$E$12</f>
        <v>60516.29</v>
      </c>
      <c r="H38" s="8">
        <f>[17]Summary!$D$12</f>
        <v>22878.05</v>
      </c>
    </row>
    <row r="39" spans="3:8" x14ac:dyDescent="0.25">
      <c r="C39" t="s">
        <v>28</v>
      </c>
      <c r="D39" s="8">
        <f>[18]Summary!D16</f>
        <v>4509466.3500000006</v>
      </c>
      <c r="E39" s="8">
        <f>[18]Summary!E16</f>
        <v>3958680.7090000007</v>
      </c>
      <c r="F39" s="8">
        <f>[18]Summary!F16</f>
        <v>3827926.74</v>
      </c>
      <c r="G39" s="8">
        <f>[18]Summary!G16</f>
        <v>3882754.4900000007</v>
      </c>
      <c r="H39" s="8">
        <f>[18]Summary!H16</f>
        <v>2792142.2100000004</v>
      </c>
    </row>
    <row r="40" spans="3:8" x14ac:dyDescent="0.25">
      <c r="C40" s="11" t="s">
        <v>29</v>
      </c>
      <c r="D40" s="19">
        <f>SUM(D34:D39)</f>
        <v>372554911.19999999</v>
      </c>
      <c r="E40" s="19">
        <f t="shared" ref="E40:H40" si="3">SUM(E34:E39)</f>
        <v>230813102.04899999</v>
      </c>
      <c r="F40" s="19">
        <f t="shared" si="3"/>
        <v>359009244.40000004</v>
      </c>
      <c r="G40" s="19">
        <f t="shared" si="3"/>
        <v>233554640.31000003</v>
      </c>
      <c r="H40" s="19">
        <f t="shared" si="3"/>
        <v>166584314.36000001</v>
      </c>
    </row>
    <row r="41" spans="3:8" x14ac:dyDescent="0.25">
      <c r="C41" t="s">
        <v>30</v>
      </c>
      <c r="D41" s="8">
        <f>D15-D40</f>
        <v>0</v>
      </c>
      <c r="E41" s="8">
        <f>E15-E40</f>
        <v>0</v>
      </c>
      <c r="F41" s="8">
        <f>F15-F40</f>
        <v>0</v>
      </c>
      <c r="G41" s="8">
        <f>G15-G40</f>
        <v>0</v>
      </c>
      <c r="H41" s="8">
        <f>H15-H40</f>
        <v>0</v>
      </c>
    </row>
  </sheetData>
  <pageMargins left="0.70866141732283472" right="0.70866141732283472" top="0.74803149606299213" bottom="0.74803149606299213" header="0.31496062992125984" footer="0.31496062992125984"/>
  <pageSetup paperSize="9" scale="85"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I18"/>
  <sheetViews>
    <sheetView zoomScale="110" zoomScaleNormal="110" workbookViewId="0">
      <selection activeCell="D24" sqref="D24"/>
    </sheetView>
  </sheetViews>
  <sheetFormatPr defaultRowHeight="15" x14ac:dyDescent="0.25"/>
  <cols>
    <col min="2" max="2" width="4.7109375" customWidth="1"/>
    <col min="3" max="3" width="42" customWidth="1"/>
    <col min="4" max="8" width="8.85546875" customWidth="1"/>
    <col min="9" max="9" width="5.42578125" bestFit="1" customWidth="1"/>
  </cols>
  <sheetData>
    <row r="2" spans="2:9" ht="15.75" thickBot="1" x14ac:dyDescent="0.3"/>
    <row r="3" spans="2:9" x14ac:dyDescent="0.25">
      <c r="B3" s="1" t="s">
        <v>80</v>
      </c>
      <c r="C3" s="35"/>
      <c r="D3" s="2" t="s">
        <v>1</v>
      </c>
      <c r="E3" s="2" t="s">
        <v>2</v>
      </c>
      <c r="F3" s="2" t="s">
        <v>3</v>
      </c>
      <c r="G3" s="2" t="s">
        <v>4</v>
      </c>
      <c r="H3" s="3" t="s">
        <v>5</v>
      </c>
      <c r="I3" s="3" t="s">
        <v>38</v>
      </c>
    </row>
    <row r="4" spans="2:9" x14ac:dyDescent="0.25">
      <c r="B4" s="4" t="s">
        <v>6</v>
      </c>
      <c r="C4" s="36"/>
      <c r="D4" s="5">
        <f>[20]Summary!C4</f>
        <v>13260847</v>
      </c>
      <c r="E4" s="5">
        <f>[20]Summary!D4</f>
        <v>20434175.690000001</v>
      </c>
      <c r="F4" s="5">
        <f>[20]Summary!E4</f>
        <v>28463291</v>
      </c>
      <c r="G4" s="5">
        <f>[20]Summary!F4</f>
        <v>22121147</v>
      </c>
      <c r="H4" s="6">
        <f>[20]Summary!G4</f>
        <v>8036079</v>
      </c>
      <c r="I4" s="34">
        <v>1</v>
      </c>
    </row>
    <row r="5" spans="2:9" x14ac:dyDescent="0.25">
      <c r="B5" s="7" t="s">
        <v>7</v>
      </c>
      <c r="C5" s="37"/>
      <c r="D5" s="8">
        <f>[20]Summary!C5</f>
        <v>2721611.0400000005</v>
      </c>
      <c r="E5" s="8">
        <f>[20]Summary!D5</f>
        <v>3853165.6399999987</v>
      </c>
      <c r="F5" s="8">
        <f>[20]Summary!E5</f>
        <v>5036963.07</v>
      </c>
      <c r="G5" s="8">
        <f>[20]Summary!F5</f>
        <v>4038913.2899999996</v>
      </c>
      <c r="H5" s="9">
        <f>[20]Summary!G5</f>
        <v>2105265.9000000004</v>
      </c>
      <c r="I5" s="34">
        <v>2</v>
      </c>
    </row>
    <row r="6" spans="2:9" x14ac:dyDescent="0.25">
      <c r="B6" s="7" t="s">
        <v>8</v>
      </c>
      <c r="C6" s="37"/>
      <c r="D6" s="8">
        <f>[20]Summary!C6</f>
        <v>1090429.57</v>
      </c>
      <c r="E6" s="8">
        <f>[20]Summary!D6</f>
        <v>1225924.4300000002</v>
      </c>
      <c r="F6" s="8">
        <f>[20]Summary!E6</f>
        <v>863966.42</v>
      </c>
      <c r="G6" s="8">
        <f>[20]Summary!F6</f>
        <v>1096126.7899999998</v>
      </c>
      <c r="H6" s="9">
        <f>[20]Summary!G6</f>
        <v>522038.89099999995</v>
      </c>
      <c r="I6" s="34">
        <v>3</v>
      </c>
    </row>
    <row r="7" spans="2:9" x14ac:dyDescent="0.25">
      <c r="B7" s="7" t="s">
        <v>9</v>
      </c>
      <c r="C7" s="37"/>
      <c r="D7" s="8">
        <f>[20]Summary!C7</f>
        <v>758712.92499999993</v>
      </c>
      <c r="E7" s="8">
        <f>[20]Summary!D7</f>
        <v>1101558.075</v>
      </c>
      <c r="F7" s="8">
        <f>[20]Summary!E7</f>
        <v>1632371.21</v>
      </c>
      <c r="G7" s="8">
        <f>[20]Summary!F7</f>
        <v>909009.39</v>
      </c>
      <c r="H7" s="9">
        <f>[20]Summary!G7</f>
        <v>676967.12999999989</v>
      </c>
      <c r="I7" s="34">
        <v>4</v>
      </c>
    </row>
    <row r="8" spans="2:9" x14ac:dyDescent="0.25">
      <c r="B8" s="7" t="s">
        <v>10</v>
      </c>
      <c r="D8" s="8">
        <v>0</v>
      </c>
      <c r="E8" s="8">
        <v>0</v>
      </c>
      <c r="F8" s="8">
        <v>0</v>
      </c>
      <c r="G8" s="8">
        <v>0</v>
      </c>
      <c r="H8" s="9">
        <v>0</v>
      </c>
      <c r="I8" s="34"/>
    </row>
    <row r="9" spans="2:9" ht="15.75" thickBot="1" x14ac:dyDescent="0.3">
      <c r="B9" s="10" t="s">
        <v>11</v>
      </c>
      <c r="D9" s="8">
        <f>[20]Summary!C10</f>
        <v>1153382.6700000002</v>
      </c>
      <c r="E9" s="8">
        <f>[20]Summary!D10</f>
        <v>1544440.4099999997</v>
      </c>
      <c r="F9" s="8">
        <f>[20]Summary!E10</f>
        <v>1284051.7</v>
      </c>
      <c r="G9" s="8">
        <f>[20]Summary!F10</f>
        <v>1323857.1800000002</v>
      </c>
      <c r="H9" s="9">
        <f>[20]Summary!G10</f>
        <v>1043870.8199999998</v>
      </c>
      <c r="I9" s="34">
        <v>5</v>
      </c>
    </row>
    <row r="10" spans="2:9" ht="15.75" thickBot="1" x14ac:dyDescent="0.3">
      <c r="B10" s="15" t="s">
        <v>16</v>
      </c>
      <c r="C10" s="39"/>
      <c r="D10" s="16">
        <f>SUM(D4:D9)</f>
        <v>18984983.205000002</v>
      </c>
      <c r="E10" s="16">
        <f t="shared" ref="E10:G10" si="0">SUM(E4:E9)</f>
        <v>28159264.244999997</v>
      </c>
      <c r="F10" s="16">
        <f t="shared" si="0"/>
        <v>37280643.400000006</v>
      </c>
      <c r="G10" s="16">
        <f t="shared" si="0"/>
        <v>29489053.649999999</v>
      </c>
      <c r="H10" s="17">
        <f>SUM(H4:H9)</f>
        <v>12384221.741</v>
      </c>
      <c r="I10" s="52"/>
    </row>
    <row r="11" spans="2:9" x14ac:dyDescent="0.25">
      <c r="I11" s="53"/>
    </row>
    <row r="12" spans="2:9" x14ac:dyDescent="0.25">
      <c r="I12" s="54"/>
    </row>
    <row r="13" spans="2:9" x14ac:dyDescent="0.25">
      <c r="B13" s="51" t="s">
        <v>53</v>
      </c>
      <c r="I13" s="54"/>
    </row>
    <row r="14" spans="2:9" x14ac:dyDescent="0.25">
      <c r="B14" s="43" t="s">
        <v>39</v>
      </c>
      <c r="C14" s="37" t="s">
        <v>68</v>
      </c>
      <c r="I14" s="54"/>
    </row>
    <row r="15" spans="2:9" x14ac:dyDescent="0.25">
      <c r="B15" s="43" t="s">
        <v>40</v>
      </c>
      <c r="C15" s="37" t="s">
        <v>69</v>
      </c>
      <c r="I15" s="37"/>
    </row>
    <row r="16" spans="2:9" x14ac:dyDescent="0.25">
      <c r="B16" s="43" t="s">
        <v>41</v>
      </c>
      <c r="C16" s="37" t="s">
        <v>65</v>
      </c>
    </row>
    <row r="17" spans="2:3" x14ac:dyDescent="0.25">
      <c r="B17" s="44" t="s">
        <v>42</v>
      </c>
      <c r="C17" s="37" t="s">
        <v>47</v>
      </c>
    </row>
    <row r="18" spans="2:3" x14ac:dyDescent="0.25">
      <c r="B18" s="44" t="s">
        <v>43</v>
      </c>
      <c r="C18" s="37" t="s">
        <v>35</v>
      </c>
    </row>
  </sheetData>
  <pageMargins left="0.70866141732283472" right="0.70866141732283472" top="0.74803149606299213" bottom="0.74803149606299213" header="0.31496062992125984" footer="0.31496062992125984"/>
  <pageSetup paperSize="9" scale="91"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0"/>
  <sheetViews>
    <sheetView workbookViewId="0">
      <selection activeCell="H27" sqref="H27"/>
    </sheetView>
  </sheetViews>
  <sheetFormatPr defaultRowHeight="15" x14ac:dyDescent="0.25"/>
  <cols>
    <col min="2" max="2" width="22.42578125" bestFit="1" customWidth="1"/>
    <col min="3" max="7" width="9.7109375" customWidth="1"/>
    <col min="9" max="9" width="22.42578125" customWidth="1"/>
    <col min="10" max="10" width="10" bestFit="1" customWidth="1"/>
  </cols>
  <sheetData>
    <row r="3" spans="2:14" ht="15.75" thickBot="1" x14ac:dyDescent="0.3">
      <c r="B3" s="51" t="s">
        <v>95</v>
      </c>
      <c r="I3" s="51" t="s">
        <v>88</v>
      </c>
    </row>
    <row r="4" spans="2:14" x14ac:dyDescent="0.25">
      <c r="C4" s="2" t="s">
        <v>1</v>
      </c>
      <c r="D4" s="2" t="s">
        <v>2</v>
      </c>
      <c r="E4" s="2" t="s">
        <v>3</v>
      </c>
      <c r="F4" s="2" t="s">
        <v>4</v>
      </c>
      <c r="G4" s="3" t="s">
        <v>5</v>
      </c>
      <c r="J4" s="2" t="s">
        <v>1</v>
      </c>
      <c r="K4" s="2" t="s">
        <v>2</v>
      </c>
      <c r="L4" s="2" t="s">
        <v>3</v>
      </c>
      <c r="M4" s="2" t="s">
        <v>4</v>
      </c>
      <c r="N4" s="3" t="s">
        <v>5</v>
      </c>
    </row>
    <row r="5" spans="2:14" x14ac:dyDescent="0.25">
      <c r="B5" t="s">
        <v>96</v>
      </c>
      <c r="C5" s="8">
        <f>Slots!L4</f>
        <v>6442974.2050000001</v>
      </c>
      <c r="D5" s="8">
        <f>Slots!M4</f>
        <v>4303739.8500000061</v>
      </c>
      <c r="E5" s="8">
        <f>Slots!N4</f>
        <v>5773033.2099999944</v>
      </c>
      <c r="F5" s="8">
        <f>Slots!O4</f>
        <v>3294970.1590000065</v>
      </c>
      <c r="G5" s="8">
        <f>Slots!P4</f>
        <v>2121240.0990000032</v>
      </c>
      <c r="I5" t="s">
        <v>105</v>
      </c>
      <c r="J5" s="8">
        <f>Slots!L13</f>
        <v>2927524.43</v>
      </c>
      <c r="K5" s="8">
        <f>Slots!M13</f>
        <v>2998469.89</v>
      </c>
      <c r="L5" s="8">
        <f>Slots!N13</f>
        <v>3416780.6699999995</v>
      </c>
      <c r="M5" s="8">
        <f>Slots!O13</f>
        <v>3825391.85</v>
      </c>
      <c r="N5" s="8">
        <f>Slots!P13</f>
        <v>3557174.4620000003</v>
      </c>
    </row>
    <row r="6" spans="2:14" x14ac:dyDescent="0.25">
      <c r="B6" t="s">
        <v>97</v>
      </c>
      <c r="C6" s="8">
        <f>'Local Tables'!M5</f>
        <v>9032972.8349999972</v>
      </c>
      <c r="D6" s="8">
        <f>'Local Tables'!N5</f>
        <v>9961171.9089999981</v>
      </c>
      <c r="E6" s="8">
        <f>'Local Tables'!O5</f>
        <v>9819582.5980000012</v>
      </c>
      <c r="F6" s="8">
        <f>'Local Tables'!P5</f>
        <v>11530928.08</v>
      </c>
      <c r="G6" s="8">
        <f>'Local Tables'!Q5</f>
        <v>8936592.9900000002</v>
      </c>
      <c r="I6" t="s">
        <v>104</v>
      </c>
      <c r="J6" s="8">
        <f>'Local Tables'!M12</f>
        <v>5384339.0749999983</v>
      </c>
      <c r="K6" s="8">
        <f>'Local Tables'!N12</f>
        <v>5699308.5760000013</v>
      </c>
      <c r="L6" s="8">
        <f>'Local Tables'!O12</f>
        <v>5325094.8600000013</v>
      </c>
      <c r="M6" s="8">
        <f>'Local Tables'!P12</f>
        <v>6306156.9399999995</v>
      </c>
      <c r="N6" s="8">
        <f>'Local Tables'!Q12</f>
        <v>5074395.0200000014</v>
      </c>
    </row>
    <row r="7" spans="2:14" x14ac:dyDescent="0.25">
      <c r="B7" s="40" t="s">
        <v>84</v>
      </c>
      <c r="C7" s="31">
        <f>SUM(C5:C6)</f>
        <v>15475947.039999997</v>
      </c>
      <c r="D7" s="31">
        <f t="shared" ref="D7" si="0">SUM(D5:D6)</f>
        <v>14264911.759000003</v>
      </c>
      <c r="E7" s="31">
        <f t="shared" ref="E7" si="1">SUM(E5:E6)</f>
        <v>15592615.807999995</v>
      </c>
      <c r="F7" s="31">
        <f t="shared" ref="F7" si="2">SUM(F5:F6)</f>
        <v>14825898.239000008</v>
      </c>
      <c r="G7" s="31">
        <f t="shared" ref="G7" si="3">SUM(G5:G6)</f>
        <v>11057833.089000003</v>
      </c>
      <c r="I7" t="s">
        <v>110</v>
      </c>
      <c r="J7" s="8">
        <f>'Domestic Tables'!D7</f>
        <v>758712.92499999993</v>
      </c>
      <c r="K7" s="8">
        <f>'Domestic Tables'!E7</f>
        <v>1101558.075</v>
      </c>
      <c r="L7" s="8">
        <f>'Domestic Tables'!F7</f>
        <v>1632371.21</v>
      </c>
      <c r="M7" s="8">
        <f>'Domestic Tables'!G7</f>
        <v>909009.39</v>
      </c>
      <c r="N7" s="8">
        <f>'Domestic Tables'!H7</f>
        <v>676967.12999999989</v>
      </c>
    </row>
    <row r="8" spans="2:14" x14ac:dyDescent="0.25">
      <c r="B8" t="s">
        <v>98</v>
      </c>
      <c r="C8" s="8">
        <f>Slots!L5</f>
        <v>1372675.41</v>
      </c>
      <c r="D8" s="8">
        <f>Slots!M5</f>
        <v>2592007.1360000009</v>
      </c>
      <c r="E8" s="8">
        <f>Slots!N5</f>
        <v>3051739.95</v>
      </c>
      <c r="F8" s="8">
        <f>Slots!O5</f>
        <v>5102351.2510000011</v>
      </c>
      <c r="G8" s="8">
        <f>Slots!P5</f>
        <v>4262198.3710000012</v>
      </c>
      <c r="I8" t="s">
        <v>111</v>
      </c>
      <c r="J8" s="8">
        <f>'International Tables'!D7</f>
        <v>4509466.3500000006</v>
      </c>
      <c r="K8" s="8">
        <f>'International Tables'!E7</f>
        <v>3958680.7090000007</v>
      </c>
      <c r="L8" s="8">
        <f>'International Tables'!F7</f>
        <v>3827926.74</v>
      </c>
      <c r="M8" s="8">
        <f>'International Tables'!G7</f>
        <v>3882754.4900000007</v>
      </c>
      <c r="N8" s="8">
        <f>'International Tables'!H7</f>
        <v>2792142.2100000004</v>
      </c>
    </row>
    <row r="9" spans="2:14" x14ac:dyDescent="0.25">
      <c r="B9" t="s">
        <v>99</v>
      </c>
      <c r="C9" s="8">
        <f>'Local Tables'!M6+'Domestic Tables'!D6</f>
        <v>2915871.75</v>
      </c>
      <c r="D9" s="8">
        <f>'Local Tables'!N6+'Domestic Tables'!E6</f>
        <v>3283163.7849999988</v>
      </c>
      <c r="E9" s="8">
        <f>'Local Tables'!O6+'Domestic Tables'!F6</f>
        <v>3126405.129999998</v>
      </c>
      <c r="F9" s="8">
        <f>'Local Tables'!P6+'Domestic Tables'!G6</f>
        <v>3902933.870000002</v>
      </c>
      <c r="G9" s="8">
        <f>'Local Tables'!Q6+'Domestic Tables'!H6</f>
        <v>2060015.3609999991</v>
      </c>
      <c r="I9" s="40" t="s">
        <v>89</v>
      </c>
      <c r="J9" s="31">
        <f>SUM(J5:J8)</f>
        <v>13580042.780000001</v>
      </c>
      <c r="K9" s="31">
        <f t="shared" ref="K9:N9" si="4">SUM(K5:K8)</f>
        <v>13758017.250000002</v>
      </c>
      <c r="L9" s="31">
        <f t="shared" si="4"/>
        <v>14202173.480000002</v>
      </c>
      <c r="M9" s="31">
        <f t="shared" si="4"/>
        <v>14923312.67</v>
      </c>
      <c r="N9" s="31">
        <f t="shared" si="4"/>
        <v>12100678.822000001</v>
      </c>
    </row>
    <row r="10" spans="2:14" x14ac:dyDescent="0.25">
      <c r="B10" s="40" t="s">
        <v>85</v>
      </c>
      <c r="C10" s="31">
        <f>SUM(C8:C9)</f>
        <v>4288547.16</v>
      </c>
      <c r="D10" s="31">
        <f t="shared" ref="D10" si="5">SUM(D8:D9)</f>
        <v>5875170.9210000001</v>
      </c>
      <c r="E10" s="31">
        <f t="shared" ref="E10" si="6">SUM(E8:E9)</f>
        <v>6178145.0799999982</v>
      </c>
      <c r="F10" s="31">
        <f t="shared" ref="F10" si="7">SUM(F8:F9)</f>
        <v>9005285.1210000031</v>
      </c>
      <c r="G10" s="31">
        <f t="shared" ref="G10" si="8">SUM(G8:G9)</f>
        <v>6322213.7320000008</v>
      </c>
      <c r="I10" t="s">
        <v>106</v>
      </c>
      <c r="J10" s="8">
        <f>Slots!L14</f>
        <v>3737993.4400000004</v>
      </c>
      <c r="K10" s="8">
        <f>Slots!M14</f>
        <v>4592507.1800000006</v>
      </c>
      <c r="L10" s="8">
        <f>Slots!N14</f>
        <v>4858863.63</v>
      </c>
      <c r="M10" s="8">
        <f>Slots!O14</f>
        <v>5426091.6900000004</v>
      </c>
      <c r="N10" s="8">
        <f>Slots!P14</f>
        <v>4513792.79</v>
      </c>
    </row>
    <row r="11" spans="2:14" x14ac:dyDescent="0.25">
      <c r="B11" t="s">
        <v>100</v>
      </c>
      <c r="C11" s="8">
        <f>Slots!L6</f>
        <v>0</v>
      </c>
      <c r="D11" s="8">
        <f>Slots!M6</f>
        <v>782395.52999999991</v>
      </c>
      <c r="E11" s="8">
        <f>Slots!N6</f>
        <v>1085878.399</v>
      </c>
      <c r="F11" s="8">
        <f>Slots!O6</f>
        <v>2844046.3229999999</v>
      </c>
      <c r="G11" s="8">
        <f>Slots!P6</f>
        <v>2867871.4040000001</v>
      </c>
      <c r="I11" t="s">
        <v>107</v>
      </c>
      <c r="J11" s="8">
        <f>'Local Tables'!M13</f>
        <v>2150186.0299999998</v>
      </c>
      <c r="K11" s="8">
        <f>'Local Tables'!N13</f>
        <v>2802714.21</v>
      </c>
      <c r="L11" s="8">
        <f>'Local Tables'!O13</f>
        <v>2644060.8199999994</v>
      </c>
      <c r="M11" s="8">
        <f>'Local Tables'!P13</f>
        <v>2450927.5300000003</v>
      </c>
      <c r="N11" s="8">
        <f>'Local Tables'!Q13</f>
        <v>1707296.1800000004</v>
      </c>
    </row>
    <row r="12" spans="2:14" x14ac:dyDescent="0.25">
      <c r="B12" t="s">
        <v>101</v>
      </c>
      <c r="C12" s="8">
        <f>'International Tables'!D6</f>
        <v>10724352.02</v>
      </c>
      <c r="D12" s="8">
        <f>'International Tables'!E6</f>
        <v>6513856.5499999998</v>
      </c>
      <c r="E12" s="8">
        <f>'International Tables'!F6</f>
        <v>8505178.4199999999</v>
      </c>
      <c r="F12" s="8">
        <f>'International Tables'!G6</f>
        <v>10622613.059999999</v>
      </c>
      <c r="G12" s="8">
        <f>'International Tables'!H6</f>
        <v>5406980.7400000002</v>
      </c>
      <c r="I12" s="40" t="s">
        <v>90</v>
      </c>
      <c r="J12" s="31">
        <f>SUM(J10:J11)</f>
        <v>5888179.4700000007</v>
      </c>
      <c r="K12" s="31">
        <f t="shared" ref="K12:N12" si="9">SUM(K10:K11)</f>
        <v>7395221.3900000006</v>
      </c>
      <c r="L12" s="31">
        <f t="shared" si="9"/>
        <v>7502924.4499999993</v>
      </c>
      <c r="M12" s="31">
        <f t="shared" si="9"/>
        <v>7877019.2200000007</v>
      </c>
      <c r="N12" s="31">
        <f t="shared" si="9"/>
        <v>6221088.9700000007</v>
      </c>
    </row>
    <row r="13" spans="2:14" x14ac:dyDescent="0.25">
      <c r="B13" s="40" t="s">
        <v>103</v>
      </c>
      <c r="C13" s="31">
        <f>SUM(C11:C12)</f>
        <v>10724352.02</v>
      </c>
      <c r="D13" s="31">
        <f t="shared" ref="D13" si="10">SUM(D11:D12)</f>
        <v>7296252.0800000001</v>
      </c>
      <c r="E13" s="31">
        <f t="shared" ref="E13" si="11">SUM(E11:E12)</f>
        <v>9591056.8190000001</v>
      </c>
      <c r="F13" s="31">
        <f t="shared" ref="F13" si="12">SUM(F11:F12)</f>
        <v>13466659.382999998</v>
      </c>
      <c r="G13" s="31">
        <f t="shared" ref="G13" si="13">SUM(G11:G12)</f>
        <v>8274852.1440000003</v>
      </c>
      <c r="I13" t="s">
        <v>108</v>
      </c>
      <c r="J13" s="8">
        <f>Slots!L15</f>
        <v>2208370.08</v>
      </c>
      <c r="K13" s="8">
        <f>Slots!M15</f>
        <v>3046911.4299999997</v>
      </c>
      <c r="L13" s="8">
        <f>Slots!N15</f>
        <v>3138880</v>
      </c>
      <c r="M13" s="8">
        <f>Slots!O15</f>
        <v>3832480.96</v>
      </c>
      <c r="N13" s="8">
        <f>Slots!P15</f>
        <v>2906569.91</v>
      </c>
    </row>
    <row r="14" spans="2:14" ht="15.75" thickBot="1" x14ac:dyDescent="0.3">
      <c r="B14" s="68" t="s">
        <v>86</v>
      </c>
      <c r="C14" s="64">
        <f>SUM(C7,C10,C13)</f>
        <v>30488846.219999995</v>
      </c>
      <c r="D14" s="64">
        <f>SUM(D7,D10,D13)</f>
        <v>27436334.760000005</v>
      </c>
      <c r="E14" s="64">
        <f>SUM(E7,E10,E13)</f>
        <v>31361817.706999995</v>
      </c>
      <c r="F14" s="64">
        <f>SUM(F7,F10,F13)</f>
        <v>37297842.743000008</v>
      </c>
      <c r="G14" s="64">
        <f>SUM(G7,G10,G13)</f>
        <v>25654898.965000004</v>
      </c>
      <c r="I14" t="s">
        <v>109</v>
      </c>
      <c r="J14" s="8">
        <f>'Local Tables'!M14</f>
        <v>0</v>
      </c>
      <c r="K14" s="8">
        <f>'Local Tables'!N14</f>
        <v>0</v>
      </c>
      <c r="L14" s="8">
        <f>'Local Tables'!O14</f>
        <v>0</v>
      </c>
      <c r="M14" s="8">
        <f>'Local Tables'!P14</f>
        <v>0</v>
      </c>
      <c r="N14" s="8">
        <f>'Local Tables'!Q14</f>
        <v>159156.68000000002</v>
      </c>
    </row>
    <row r="15" spans="2:14" x14ac:dyDescent="0.25">
      <c r="I15" s="40" t="s">
        <v>91</v>
      </c>
      <c r="J15" s="31">
        <f>SUM(J13:J14)</f>
        <v>2208370.08</v>
      </c>
      <c r="K15" s="31">
        <f t="shared" ref="K15:N15" si="14">SUM(K13:K14)</f>
        <v>3046911.4299999997</v>
      </c>
      <c r="L15" s="31">
        <f t="shared" si="14"/>
        <v>3138880</v>
      </c>
      <c r="M15" s="31">
        <f t="shared" si="14"/>
        <v>3832480.96</v>
      </c>
      <c r="N15" s="31">
        <f t="shared" si="14"/>
        <v>3065726.5900000003</v>
      </c>
    </row>
    <row r="16" spans="2:14" ht="15.75" thickBot="1" x14ac:dyDescent="0.3">
      <c r="B16" t="s">
        <v>94</v>
      </c>
      <c r="C16" s="8">
        <f>Slots!L8</f>
        <v>414580.15599999996</v>
      </c>
      <c r="D16" s="8">
        <f>Slots!M8</f>
        <v>557602.83499999996</v>
      </c>
      <c r="E16" s="8">
        <f>Slots!N8</f>
        <v>501911.40799999994</v>
      </c>
      <c r="F16" s="8">
        <f>Slots!O8</f>
        <v>608848.96</v>
      </c>
      <c r="G16" s="8">
        <f>Slots!P8</f>
        <v>325527.94</v>
      </c>
      <c r="I16" s="68" t="s">
        <v>86</v>
      </c>
      <c r="J16" s="64">
        <f>SUM(J9,J12,J15)</f>
        <v>21676592.329999998</v>
      </c>
      <c r="K16" s="64">
        <f t="shared" ref="K16:N16" si="15">SUM(K9,K12,K15)</f>
        <v>24200150.07</v>
      </c>
      <c r="L16" s="64">
        <f t="shared" si="15"/>
        <v>24843977.93</v>
      </c>
      <c r="M16" s="64">
        <f t="shared" si="15"/>
        <v>26632812.850000001</v>
      </c>
      <c r="N16" s="64">
        <f t="shared" si="15"/>
        <v>21387494.382000003</v>
      </c>
    </row>
    <row r="18" spans="2:14" x14ac:dyDescent="0.25">
      <c r="B18" t="s">
        <v>102</v>
      </c>
      <c r="C18" s="19">
        <f>C14+C16</f>
        <v>30903426.375999995</v>
      </c>
      <c r="D18" s="19">
        <f t="shared" ref="D18:G18" si="16">D14+D16</f>
        <v>27993937.595000006</v>
      </c>
      <c r="E18" s="19">
        <f t="shared" si="16"/>
        <v>31863729.114999995</v>
      </c>
      <c r="F18" s="19">
        <f t="shared" si="16"/>
        <v>37906691.703000009</v>
      </c>
      <c r="G18" s="19">
        <f t="shared" si="16"/>
        <v>25980426.905000005</v>
      </c>
      <c r="J18" s="19">
        <f>Slots!D14+'Local Tables'!D7+'International Tables'!D7+'Domestic Tables'!D7</f>
        <v>21723966.530000001</v>
      </c>
      <c r="K18" s="19">
        <f>Slots!E14+'Local Tables'!E7+'International Tables'!E7+'Domestic Tables'!E7</f>
        <v>24248945.550000001</v>
      </c>
      <c r="L18" s="19">
        <f>Slots!F14+'Local Tables'!F7+'International Tables'!F7+'Domestic Tables'!F7</f>
        <v>25051549.520000003</v>
      </c>
      <c r="M18" s="19">
        <f>Slots!G14+'Local Tables'!G7+'International Tables'!G7+'Domestic Tables'!G7</f>
        <v>26945603.080000002</v>
      </c>
      <c r="N18" s="19">
        <f>Slots!H14+'Local Tables'!H7+'International Tables'!H7+'Domestic Tables'!H7</f>
        <v>21592148.442000002</v>
      </c>
    </row>
    <row r="20" spans="2:14" x14ac:dyDescent="0.25">
      <c r="B20" t="s">
        <v>30</v>
      </c>
      <c r="C20" s="67">
        <f>C18-Slots!D10-'Local Tables'!D6-'International Tables'!D6-'Domestic Tables'!D6</f>
        <v>-3.4924596548080444E-9</v>
      </c>
      <c r="D20" s="67">
        <f>D18-Slots!E10-'Local Tables'!E6-'International Tables'!E6-'Domestic Tables'!E6</f>
        <v>6.0535967350006104E-9</v>
      </c>
      <c r="E20" s="67">
        <f>E18-Slots!F10-'Local Tables'!F6-'International Tables'!F6-'Domestic Tables'!F6</f>
        <v>-5.7043507695198059E-9</v>
      </c>
      <c r="F20" s="67">
        <f>F18-Slots!G10-'Local Tables'!G6-'International Tables'!G6-'Domestic Tables'!G6</f>
        <v>8.6147338151931763E-9</v>
      </c>
      <c r="G20" s="67">
        <f>G18-Slots!H10-'Local Tables'!H6-'International Tables'!H6-'Domestic Tables'!H6</f>
        <v>4.5401975512504578E-9</v>
      </c>
      <c r="J20" s="67">
        <f>J16-J18</f>
        <v>-47374.20000000298</v>
      </c>
      <c r="K20" s="67">
        <f t="shared" ref="K20:N20" si="17">K16-K18</f>
        <v>-48795.480000000447</v>
      </c>
      <c r="L20" s="67">
        <f t="shared" si="17"/>
        <v>-207571.59000000358</v>
      </c>
      <c r="M20" s="67">
        <f t="shared" si="17"/>
        <v>-312790.23000000045</v>
      </c>
      <c r="N20" s="67">
        <f t="shared" si="17"/>
        <v>-204654.05999999866</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8831B90248A540B6D7402B812F83D7" ma:contentTypeVersion="11" ma:contentTypeDescription="Create a new document." ma:contentTypeScope="" ma:versionID="b84453e8f40ff1bc38d95d643eb89927">
  <xsd:schema xmlns:xsd="http://www.w3.org/2001/XMLSchema" xmlns:xs="http://www.w3.org/2001/XMLSchema" xmlns:p="http://schemas.microsoft.com/office/2006/metadata/properties" xmlns:ns1="2502e859-f0bf-4bcc-8c9f-128c9f9c82d2" xmlns:ns3="30211e61-8a7b-4fc1-a145-5e21de2cb23f" targetNamespace="http://schemas.microsoft.com/office/2006/metadata/properties" ma:root="true" ma:fieldsID="0f5a8274a582d6643c0b7fd495f62856" ns1:_="" ns3:_="">
    <xsd:import namespace="2502e859-f0bf-4bcc-8c9f-128c9f9c82d2"/>
    <xsd:import namespace="30211e61-8a7b-4fc1-a145-5e21de2cb23f"/>
    <xsd:element name="properties">
      <xsd:complexType>
        <xsd:sequence>
          <xsd:element name="documentManagement">
            <xsd:complexType>
              <xsd:all>
                <xsd:element ref="ns1:Document"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02e859-f0bf-4bcc-8c9f-128c9f9c82d2" elementFormDefault="qualified">
    <xsd:import namespace="http://schemas.microsoft.com/office/2006/documentManagement/types"/>
    <xsd:import namespace="http://schemas.microsoft.com/office/infopath/2007/PartnerControls"/>
    <xsd:element name="Document" ma:index="0" nillable="true" ma:displayName="Document" ma:format="Hyperlink" ma:internalName="Docume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211e61-8a7b-4fc1-a145-5e21de2cb2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 xmlns="2502e859-f0bf-4bcc-8c9f-128c9f9c82d2">
      <Url xsi:nil="true"/>
      <Description xsi:nil="true"/>
    </Document>
  </documentManagement>
</p:properties>
</file>

<file path=customXml/itemProps1.xml><?xml version="1.0" encoding="utf-8"?>
<ds:datastoreItem xmlns:ds="http://schemas.openxmlformats.org/officeDocument/2006/customXml" ds:itemID="{566A16AD-ABF9-49BD-9BBB-AF66A5B1C686}"/>
</file>

<file path=customXml/itemProps2.xml><?xml version="1.0" encoding="utf-8"?>
<ds:datastoreItem xmlns:ds="http://schemas.openxmlformats.org/officeDocument/2006/customXml" ds:itemID="{98AF6AAC-66EF-483C-9F68-B69FE7D54EEC}"/>
</file>

<file path=customXml/itemProps3.xml><?xml version="1.0" encoding="utf-8"?>
<ds:datastoreItem xmlns:ds="http://schemas.openxmlformats.org/officeDocument/2006/customXml" ds:itemID="{4A90BB66-65AE-42B2-BC62-D8948C834A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Slots</vt:lpstr>
      <vt:lpstr>Local Tables</vt:lpstr>
      <vt:lpstr>International Tables</vt:lpstr>
      <vt:lpstr>Domestic Tables</vt:lpstr>
      <vt:lpstr>MM Summary</vt:lpstr>
      <vt:lpstr>'Domestic Tables'!Print_Area</vt:lpstr>
      <vt:lpstr>'International Tables'!Print_Area</vt:lpstr>
      <vt:lpstr>'Local Tables'!Print_Area</vt:lpstr>
      <vt:lpstr>Slots!Print_Area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2021-08-04T06:42:20Z</dcterms:created>
  <dcterms:modified xsi:type="dcterms:W3CDTF">2021-08-04T06:42:32Z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0x010100BC8831B90248A540B6D7402B812F83D7</vt:lpwstr>
  </property>
</Properties>
</file>