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3.xml" ContentType="application/vnd.openxmlformats-officedocument.spreadsheetml.pivotTable+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ivotCache/pivotCacheDefinition2.xml" ContentType="application/vnd.openxmlformats-officedocument.spreadsheetml.pivotCacheDefinition+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20385" windowHeight="11565" activeTab="1"/>
  </bookViews>
  <sheets>
    <sheet name="BJ Master (2021-6-16)" sheetId="15" r:id="rId1"/>
    <sheet name="Summary (2021-6-16)" sheetId="16" r:id="rId2"/>
    <sheet name="BJ Master (2021-6-12)" sheetId="11" state="hidden" r:id="rId3"/>
    <sheet name="Summary (2021-6-12)" sheetId="12" state="hidden" r:id="rId4"/>
    <sheet name="BJ Master" sheetId="10" state="hidden" r:id="rId5"/>
    <sheet name="Summary" sheetId="2" state="hidden" r:id="rId6"/>
    <sheet name="Data_Tabs_&gt;&gt;&gt;" sheetId="17" r:id="rId7"/>
    <sheet name="CDW BonusCubeData" sheetId="14" r:id="rId8"/>
    <sheet name="Dacom Data" sheetId="3" r:id="rId9"/>
    <sheet name="COGNOS Data" sheetId="6" r:id="rId10"/>
    <sheet name="COGNOS2" sheetId="9" r:id="rId11"/>
    <sheet name="RevAudGGR" sheetId="13" r:id="rId12"/>
    <sheet name="bonanl" sheetId="1" r:id="rId13"/>
    <sheet name="Sheet1" sheetId="7" r:id="rId14"/>
    <sheet name="Sheet3" sheetId="4" r:id="rId15"/>
    <sheet name="Sheet 4" sheetId="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0">'BJ Master (2021-6-16)'!$A$1:$F$44</definedName>
    <definedName name="_xlnm.Print_Area" localSheetId="5">Summary!$A$1:$X$64</definedName>
    <definedName name="_xlnm.Print_Area" localSheetId="3">'Summary (2021-6-12)'!$B$1:$R$57</definedName>
    <definedName name="_xlnm.Print_Area" localSheetId="1">'Summary (2021-6-16)'!$B$1:$AA$106</definedName>
  </definedNames>
  <calcPr calcId="162913"/>
  <pivotCaches>
    <pivotCache cacheId="10" r:id="rId26"/>
    <pivotCache cacheId="11" r:id="rId27"/>
    <pivotCache cacheId="12" r:id="rId2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84" i="16" l="1"/>
  <c r="Y83" i="16"/>
  <c r="Y82" i="16"/>
  <c r="Y81" i="16"/>
  <c r="Y80" i="16"/>
  <c r="Y79" i="16"/>
  <c r="Y78" i="16"/>
  <c r="Y77" i="16"/>
  <c r="Y76" i="16"/>
  <c r="Y75" i="16"/>
  <c r="I76" i="16"/>
  <c r="H76" i="16"/>
  <c r="G76" i="16"/>
  <c r="F12" i="16" l="1"/>
  <c r="I77" i="16"/>
  <c r="H77" i="16"/>
  <c r="K42" i="16"/>
  <c r="K41" i="16"/>
  <c r="K40" i="16"/>
  <c r="K39" i="16"/>
  <c r="K38" i="16"/>
  <c r="K37" i="16"/>
  <c r="K36" i="16"/>
  <c r="K35" i="16"/>
  <c r="K34" i="16"/>
  <c r="K33" i="16"/>
  <c r="G77" i="16" l="1"/>
  <c r="H78" i="16"/>
  <c r="G78" i="16" l="1"/>
  <c r="F13" i="16"/>
  <c r="I78" i="16"/>
  <c r="H79" i="16"/>
  <c r="F14" i="16" l="1"/>
  <c r="G79" i="16"/>
  <c r="I79" i="16"/>
  <c r="H80" i="16"/>
  <c r="G80" i="16" l="1"/>
  <c r="I80" i="16"/>
  <c r="F15" i="16"/>
  <c r="H81" i="16"/>
  <c r="I81" i="16" l="1"/>
  <c r="G81" i="16"/>
  <c r="F16" i="16"/>
  <c r="H82" i="16"/>
  <c r="G82" i="16" l="1"/>
  <c r="I82" i="16"/>
  <c r="F17" i="16"/>
  <c r="H83" i="16"/>
  <c r="I83" i="16" l="1"/>
  <c r="F18" i="16"/>
  <c r="G83" i="16"/>
  <c r="H84" i="16" l="1"/>
  <c r="I84" i="16"/>
  <c r="G84" i="16"/>
  <c r="F19" i="16"/>
  <c r="F20" i="16" l="1"/>
  <c r="I85" i="16"/>
  <c r="H85" i="16"/>
  <c r="C20" i="16" l="1"/>
  <c r="C19" i="16"/>
  <c r="C18" i="16"/>
  <c r="C17" i="16"/>
  <c r="C16" i="16"/>
  <c r="C15" i="16"/>
  <c r="C14" i="16"/>
  <c r="C13" i="16"/>
  <c r="C12" i="16"/>
  <c r="C11" i="16"/>
  <c r="D20" i="16"/>
  <c r="D19" i="16"/>
  <c r="D18" i="16"/>
  <c r="D17" i="16"/>
  <c r="D16" i="16"/>
  <c r="D15" i="16"/>
  <c r="D14" i="16"/>
  <c r="D13" i="16"/>
  <c r="D12" i="16"/>
  <c r="D11" i="16"/>
  <c r="R12" i="14" l="1"/>
  <c r="R11" i="14"/>
  <c r="R10" i="14"/>
  <c r="R9" i="14"/>
  <c r="R8" i="14"/>
  <c r="R7" i="14"/>
  <c r="R6" i="14"/>
  <c r="R5" i="14"/>
  <c r="R4" i="14"/>
  <c r="R3" i="14"/>
  <c r="R2" i="14"/>
  <c r="Q3" i="14"/>
  <c r="Q4" i="14"/>
  <c r="Q5" i="14"/>
  <c r="Q6" i="14"/>
  <c r="Q7" i="14"/>
  <c r="Q8" i="14"/>
  <c r="Q9" i="14"/>
  <c r="Q10" i="14"/>
  <c r="Q11" i="14"/>
  <c r="Q12" i="14"/>
  <c r="Q2" i="14"/>
  <c r="U84" i="16"/>
  <c r="S84" i="16"/>
  <c r="Q84" i="16"/>
  <c r="P84" i="16"/>
  <c r="O84" i="16"/>
  <c r="N84" i="16"/>
  <c r="M84" i="16"/>
  <c r="U83" i="16"/>
  <c r="S83" i="16"/>
  <c r="Q83" i="16"/>
  <c r="P83" i="16"/>
  <c r="O83" i="16"/>
  <c r="N83" i="16"/>
  <c r="M83" i="16"/>
  <c r="U82" i="16"/>
  <c r="S82" i="16"/>
  <c r="Q82" i="16"/>
  <c r="P82" i="16"/>
  <c r="O82" i="16"/>
  <c r="N82" i="16"/>
  <c r="M82" i="16"/>
  <c r="U81" i="16"/>
  <c r="S81" i="16"/>
  <c r="Q81" i="16"/>
  <c r="P81" i="16"/>
  <c r="O81" i="16"/>
  <c r="N81" i="16"/>
  <c r="M81" i="16"/>
  <c r="U80" i="16"/>
  <c r="S80" i="16"/>
  <c r="Q80" i="16"/>
  <c r="P80" i="16"/>
  <c r="O80" i="16"/>
  <c r="N80" i="16"/>
  <c r="M80" i="16"/>
  <c r="U79" i="16"/>
  <c r="S79" i="16"/>
  <c r="Q79" i="16"/>
  <c r="P79" i="16"/>
  <c r="O79" i="16"/>
  <c r="N79" i="16"/>
  <c r="M79" i="16"/>
  <c r="U78" i="16"/>
  <c r="S78" i="16"/>
  <c r="Q78" i="16"/>
  <c r="P78" i="16"/>
  <c r="O78" i="16"/>
  <c r="N78" i="16"/>
  <c r="M78" i="16"/>
  <c r="U77" i="16"/>
  <c r="S77" i="16"/>
  <c r="Q77" i="16"/>
  <c r="P77" i="16"/>
  <c r="O77" i="16"/>
  <c r="N77" i="16"/>
  <c r="M77" i="16"/>
  <c r="U76" i="16"/>
  <c r="S76" i="16"/>
  <c r="Q76" i="16"/>
  <c r="P76" i="16"/>
  <c r="O76" i="16"/>
  <c r="N76" i="16"/>
  <c r="M76" i="16"/>
  <c r="U75" i="16"/>
  <c r="S75" i="16"/>
  <c r="Q75" i="16"/>
  <c r="P75" i="16"/>
  <c r="O75" i="16"/>
  <c r="N75" i="16"/>
  <c r="M75" i="16"/>
  <c r="L84" i="16"/>
  <c r="L83" i="16"/>
  <c r="L82" i="16"/>
  <c r="L81" i="16"/>
  <c r="L80" i="16"/>
  <c r="L79" i="16"/>
  <c r="L78" i="16"/>
  <c r="L77" i="16"/>
  <c r="L76" i="16"/>
  <c r="L75" i="16"/>
  <c r="K84" i="16"/>
  <c r="K83" i="16"/>
  <c r="K82" i="16"/>
  <c r="K81" i="16"/>
  <c r="K80" i="16"/>
  <c r="K79" i="16"/>
  <c r="K78" i="16"/>
  <c r="K77" i="16"/>
  <c r="K76" i="16"/>
  <c r="K75" i="16"/>
  <c r="J84" i="16"/>
  <c r="G20" i="16" s="1"/>
  <c r="J83" i="16"/>
  <c r="J82" i="16"/>
  <c r="J81" i="16"/>
  <c r="J80" i="16"/>
  <c r="J99" i="16" s="1"/>
  <c r="W99" i="16" s="1"/>
  <c r="X99" i="16" s="1"/>
  <c r="J79" i="16"/>
  <c r="J98" i="16" s="1"/>
  <c r="W98" i="16" s="1"/>
  <c r="J78" i="16"/>
  <c r="J77" i="16"/>
  <c r="J76" i="16"/>
  <c r="J75" i="16"/>
  <c r="G75" i="16"/>
  <c r="F11" i="16" s="1"/>
  <c r="X108" i="16"/>
  <c r="W108" i="16"/>
  <c r="V108" i="16"/>
  <c r="T108" i="16"/>
  <c r="R108" i="16"/>
  <c r="D108" i="16"/>
  <c r="W95" i="16"/>
  <c r="X95" i="16" s="1"/>
  <c r="W94" i="16"/>
  <c r="AB94" i="16" s="1"/>
  <c r="W93" i="16"/>
  <c r="X93" i="16" s="1"/>
  <c r="W92" i="16"/>
  <c r="AB92" i="16" s="1"/>
  <c r="W91" i="16"/>
  <c r="X91" i="16" s="1"/>
  <c r="W90" i="16"/>
  <c r="X90" i="16" s="1"/>
  <c r="W89" i="16"/>
  <c r="X89" i="16" s="1"/>
  <c r="W88" i="16"/>
  <c r="X88" i="16" s="1"/>
  <c r="W87" i="16"/>
  <c r="Z87" i="16" s="1"/>
  <c r="X85" i="16"/>
  <c r="W85" i="16"/>
  <c r="V85" i="16"/>
  <c r="T85" i="16"/>
  <c r="R85" i="16"/>
  <c r="D85" i="16"/>
  <c r="F84" i="16"/>
  <c r="D42" i="16" s="1"/>
  <c r="F83" i="16"/>
  <c r="F82" i="16"/>
  <c r="D40" i="16" s="1"/>
  <c r="F81" i="16"/>
  <c r="F80" i="16"/>
  <c r="D38" i="16" s="1"/>
  <c r="F79" i="16"/>
  <c r="D37" i="16" s="1"/>
  <c r="F78" i="16"/>
  <c r="F77" i="16"/>
  <c r="D35" i="16" s="1"/>
  <c r="F76" i="16"/>
  <c r="F75" i="16"/>
  <c r="AB74" i="16"/>
  <c r="AA74" i="16"/>
  <c r="AB73" i="16"/>
  <c r="AA73" i="16"/>
  <c r="AB72" i="16"/>
  <c r="AA72" i="16"/>
  <c r="AB71" i="16"/>
  <c r="AA71" i="16"/>
  <c r="AB70" i="16"/>
  <c r="AA70" i="16"/>
  <c r="AB69" i="16"/>
  <c r="AA69" i="16"/>
  <c r="AB68" i="16"/>
  <c r="AA68" i="16"/>
  <c r="K44" i="16"/>
  <c r="K43" i="16"/>
  <c r="J43" i="16"/>
  <c r="F43" i="16"/>
  <c r="C34" i="16"/>
  <c r="C33" i="16"/>
  <c r="O32" i="16"/>
  <c r="N32" i="16"/>
  <c r="L32" i="16"/>
  <c r="D32" i="16"/>
  <c r="C32" i="16"/>
  <c r="O31" i="16"/>
  <c r="N31" i="16"/>
  <c r="L31" i="16"/>
  <c r="D31" i="16"/>
  <c r="C31" i="16"/>
  <c r="O30" i="16"/>
  <c r="N30" i="16"/>
  <c r="L30" i="16"/>
  <c r="D30" i="16"/>
  <c r="C30" i="16"/>
  <c r="O29" i="16"/>
  <c r="N29" i="16"/>
  <c r="L29" i="16"/>
  <c r="D29" i="16"/>
  <c r="C29" i="16"/>
  <c r="O28" i="16"/>
  <c r="N28" i="16"/>
  <c r="L28" i="16"/>
  <c r="D28" i="16"/>
  <c r="C28" i="16"/>
  <c r="O27" i="16"/>
  <c r="N27" i="16"/>
  <c r="L27" i="16"/>
  <c r="D27" i="16"/>
  <c r="C27" i="16"/>
  <c r="O26" i="16"/>
  <c r="N26" i="16"/>
  <c r="L26" i="16"/>
  <c r="D26" i="16"/>
  <c r="C26" i="16"/>
  <c r="G21" i="16"/>
  <c r="D21" i="16"/>
  <c r="C21" i="16"/>
  <c r="C42" i="16"/>
  <c r="G19" i="16"/>
  <c r="D41" i="16"/>
  <c r="C41" i="16"/>
  <c r="G18" i="16"/>
  <c r="C40" i="16"/>
  <c r="D39" i="16"/>
  <c r="C39" i="16"/>
  <c r="C38" i="16"/>
  <c r="C37" i="16"/>
  <c r="D36" i="16"/>
  <c r="C36" i="16"/>
  <c r="G12" i="16"/>
  <c r="D34" i="16"/>
  <c r="G11" i="16"/>
  <c r="H10" i="16"/>
  <c r="F10" i="16"/>
  <c r="AB32" i="16" s="1"/>
  <c r="H9" i="16"/>
  <c r="F9" i="16"/>
  <c r="AB31" i="16" s="1"/>
  <c r="H8" i="16"/>
  <c r="I8" i="16" s="1"/>
  <c r="I30" i="16" s="1"/>
  <c r="AE30" i="16" s="1"/>
  <c r="F8" i="16"/>
  <c r="H7" i="16"/>
  <c r="F7" i="16"/>
  <c r="H6" i="16"/>
  <c r="F6" i="16"/>
  <c r="H5" i="16"/>
  <c r="F5" i="16"/>
  <c r="H4" i="16"/>
  <c r="I4" i="16" s="1"/>
  <c r="F4" i="16"/>
  <c r="N12" i="14"/>
  <c r="L12" i="14"/>
  <c r="K12" i="14"/>
  <c r="J12" i="14"/>
  <c r="I12" i="14"/>
  <c r="H12" i="14"/>
  <c r="G12" i="14"/>
  <c r="F12" i="14"/>
  <c r="E12" i="14"/>
  <c r="D12" i="14"/>
  <c r="C12" i="14"/>
  <c r="B12" i="14"/>
  <c r="O11" i="14"/>
  <c r="M11" i="14"/>
  <c r="O10" i="14"/>
  <c r="M10" i="14"/>
  <c r="O9" i="14"/>
  <c r="M9" i="14"/>
  <c r="O8" i="14"/>
  <c r="M8" i="14"/>
  <c r="O7" i="14"/>
  <c r="M7" i="14"/>
  <c r="O6" i="14"/>
  <c r="M6" i="14"/>
  <c r="O5" i="14"/>
  <c r="M5" i="14"/>
  <c r="O4" i="14"/>
  <c r="M4" i="14"/>
  <c r="O3" i="14"/>
  <c r="M3" i="14"/>
  <c r="O2" i="14"/>
  <c r="O12" i="14" s="1"/>
  <c r="M2" i="14"/>
  <c r="M12" i="14" s="1"/>
  <c r="X92" i="16" l="1"/>
  <c r="Z95" i="16"/>
  <c r="G16" i="16"/>
  <c r="Z78" i="16"/>
  <c r="AA78" i="16" s="1"/>
  <c r="J101" i="16"/>
  <c r="W101" i="16" s="1"/>
  <c r="X101" i="16" s="1"/>
  <c r="P30" i="16"/>
  <c r="J102" i="16"/>
  <c r="W102" i="16" s="1"/>
  <c r="AB102" i="16" s="1"/>
  <c r="G14" i="16"/>
  <c r="Z91" i="16"/>
  <c r="X94" i="16"/>
  <c r="AB91" i="16"/>
  <c r="Z94" i="16"/>
  <c r="Z77" i="16"/>
  <c r="AA77" i="16" s="1"/>
  <c r="Z80" i="16"/>
  <c r="AA80" i="16" s="1"/>
  <c r="J100" i="16"/>
  <c r="W100" i="16" s="1"/>
  <c r="AB100" i="16" s="1"/>
  <c r="H15" i="16"/>
  <c r="Z92" i="16"/>
  <c r="Z82" i="16"/>
  <c r="AA82" i="16" s="1"/>
  <c r="Z89" i="16"/>
  <c r="Z75" i="16"/>
  <c r="AA75" i="16" s="1"/>
  <c r="Z83" i="16"/>
  <c r="AA83" i="16" s="1"/>
  <c r="AB93" i="16"/>
  <c r="G15" i="16"/>
  <c r="AB88" i="16"/>
  <c r="H17" i="16"/>
  <c r="H18" i="16"/>
  <c r="I18" i="16" s="1"/>
  <c r="J18" i="16" s="1"/>
  <c r="Z79" i="16"/>
  <c r="AA79" i="16" s="1"/>
  <c r="H16" i="16"/>
  <c r="J108" i="16"/>
  <c r="H11" i="16"/>
  <c r="H19" i="16"/>
  <c r="I19" i="16" s="1"/>
  <c r="Q108" i="16"/>
  <c r="Q85" i="16"/>
  <c r="P29" i="16"/>
  <c r="AB89" i="16"/>
  <c r="J97" i="16"/>
  <c r="W97" i="16" s="1"/>
  <c r="AB97" i="16" s="1"/>
  <c r="H12" i="16"/>
  <c r="I12" i="16" s="1"/>
  <c r="H20" i="16"/>
  <c r="I20" i="16" s="1"/>
  <c r="M108" i="16"/>
  <c r="Z81" i="16"/>
  <c r="AA81" i="16" s="1"/>
  <c r="M85" i="16"/>
  <c r="H13" i="16"/>
  <c r="Y85" i="16"/>
  <c r="G17" i="16"/>
  <c r="F108" i="16"/>
  <c r="H14" i="16"/>
  <c r="I14" i="16" s="1"/>
  <c r="J14" i="16" s="1"/>
  <c r="L108" i="16"/>
  <c r="J103" i="16"/>
  <c r="W103" i="16" s="1"/>
  <c r="X103" i="16" s="1"/>
  <c r="Z76" i="16"/>
  <c r="AA76" i="16" s="1"/>
  <c r="Z84" i="16"/>
  <c r="AA84" i="16" s="1"/>
  <c r="P27" i="16"/>
  <c r="P32" i="16"/>
  <c r="S108" i="16"/>
  <c r="U108" i="16"/>
  <c r="N85" i="16"/>
  <c r="N108" i="16"/>
  <c r="O108" i="16"/>
  <c r="P85" i="16"/>
  <c r="U85" i="16"/>
  <c r="S85" i="16"/>
  <c r="P108" i="16"/>
  <c r="O85" i="16"/>
  <c r="L85" i="16"/>
  <c r="K108" i="16"/>
  <c r="K85" i="16"/>
  <c r="G13" i="16"/>
  <c r="J96" i="16"/>
  <c r="W96" i="16" s="1"/>
  <c r="AB96" i="16" s="1"/>
  <c r="J85" i="16"/>
  <c r="G26" i="16"/>
  <c r="AC26" i="16" s="1"/>
  <c r="I26" i="16"/>
  <c r="AE26" i="16" s="1"/>
  <c r="J4" i="16"/>
  <c r="AG26" i="16" s="1"/>
  <c r="G108" i="16"/>
  <c r="G85" i="16"/>
  <c r="J8" i="16"/>
  <c r="AF30" i="16" s="1"/>
  <c r="D33" i="16"/>
  <c r="D44" i="16" s="1"/>
  <c r="C22" i="16"/>
  <c r="C43" i="16"/>
  <c r="AB90" i="16"/>
  <c r="H30" i="16"/>
  <c r="AD30" i="16" s="1"/>
  <c r="F22" i="16"/>
  <c r="D43" i="16"/>
  <c r="Z88" i="16"/>
  <c r="Z93" i="16"/>
  <c r="AB95" i="16"/>
  <c r="L43" i="16"/>
  <c r="P26" i="16"/>
  <c r="I6" i="16"/>
  <c r="I28" i="16" s="1"/>
  <c r="AE28" i="16" s="1"/>
  <c r="H26" i="16"/>
  <c r="AD26" i="16" s="1"/>
  <c r="I10" i="16"/>
  <c r="H32" i="16" s="1"/>
  <c r="AD32" i="16" s="1"/>
  <c r="P28" i="16"/>
  <c r="P31" i="16"/>
  <c r="AB87" i="16"/>
  <c r="Z90" i="16"/>
  <c r="X98" i="16"/>
  <c r="AB98" i="16"/>
  <c r="F85" i="16"/>
  <c r="AB30" i="16"/>
  <c r="C35" i="16"/>
  <c r="C44" i="16" s="1"/>
  <c r="I5" i="16"/>
  <c r="J5" i="16" s="1"/>
  <c r="I7" i="16"/>
  <c r="H29" i="16" s="1"/>
  <c r="AD29" i="16" s="1"/>
  <c r="I9" i="16"/>
  <c r="H31" i="16" s="1"/>
  <c r="AD31" i="16" s="1"/>
  <c r="H21" i="16"/>
  <c r="AB29" i="16"/>
  <c r="G30" i="16"/>
  <c r="AC30" i="16" s="1"/>
  <c r="N43" i="16"/>
  <c r="AB101" i="16"/>
  <c r="AB28" i="16"/>
  <c r="O43" i="16"/>
  <c r="AB27" i="16"/>
  <c r="X87" i="16"/>
  <c r="F21" i="16"/>
  <c r="AB26" i="16"/>
  <c r="AB99" i="16"/>
  <c r="X97" i="16" l="1"/>
  <c r="X102" i="16"/>
  <c r="X100" i="16"/>
  <c r="J6" i="16"/>
  <c r="AF28" i="16" s="1"/>
  <c r="H112" i="16" s="1"/>
  <c r="G22" i="16"/>
  <c r="G28" i="16"/>
  <c r="AC28" i="16" s="1"/>
  <c r="I15" i="16"/>
  <c r="Z98" i="16" s="1"/>
  <c r="Y130" i="16"/>
  <c r="H130" i="16"/>
  <c r="I130" i="16"/>
  <c r="AB103" i="16"/>
  <c r="Y112" i="16"/>
  <c r="AF26" i="16"/>
  <c r="R110" i="16" s="1"/>
  <c r="Y114" i="16"/>
  <c r="H114" i="16"/>
  <c r="I114" i="16"/>
  <c r="Y108" i="16"/>
  <c r="AG36" i="16"/>
  <c r="S140" i="16" s="1"/>
  <c r="AG40" i="16"/>
  <c r="J144" i="16" s="1"/>
  <c r="J9" i="16"/>
  <c r="AG30" i="16"/>
  <c r="K134" i="16" s="1"/>
  <c r="J10" i="16"/>
  <c r="AF32" i="16" s="1"/>
  <c r="I16" i="16"/>
  <c r="Z99" i="16" s="1"/>
  <c r="I17" i="16"/>
  <c r="J17" i="16" s="1"/>
  <c r="I11" i="16"/>
  <c r="J11" i="16" s="1"/>
  <c r="H22" i="16"/>
  <c r="Z85" i="16"/>
  <c r="AA85" i="16"/>
  <c r="Z101" i="16"/>
  <c r="X96" i="16"/>
  <c r="I13" i="16"/>
  <c r="Z108" i="16"/>
  <c r="Z97" i="16"/>
  <c r="I32" i="16"/>
  <c r="AE32" i="16" s="1"/>
  <c r="G32" i="16"/>
  <c r="AC32" i="16" s="1"/>
  <c r="D22" i="16"/>
  <c r="H28" i="16"/>
  <c r="AD28" i="16" s="1"/>
  <c r="P43" i="16"/>
  <c r="J7" i="16"/>
  <c r="I27" i="16"/>
  <c r="G27" i="16"/>
  <c r="W130" i="16"/>
  <c r="O130" i="16"/>
  <c r="V130" i="16"/>
  <c r="N130" i="16"/>
  <c r="Q130" i="16"/>
  <c r="P130" i="16"/>
  <c r="M130" i="16"/>
  <c r="U130" i="16"/>
  <c r="K130" i="16"/>
  <c r="T130" i="16"/>
  <c r="J130" i="16"/>
  <c r="X130" i="16"/>
  <c r="S130" i="16"/>
  <c r="R130" i="16"/>
  <c r="L130" i="16"/>
  <c r="G130" i="16"/>
  <c r="I29" i="16"/>
  <c r="AE29" i="16" s="1"/>
  <c r="G29" i="16"/>
  <c r="AC29" i="16" s="1"/>
  <c r="AG27" i="16"/>
  <c r="AF27" i="16"/>
  <c r="AG31" i="16"/>
  <c r="AF31" i="16"/>
  <c r="I21" i="16"/>
  <c r="J15" i="16"/>
  <c r="J12" i="16"/>
  <c r="J20" i="16"/>
  <c r="J19" i="16"/>
  <c r="X114" i="16"/>
  <c r="P114" i="16"/>
  <c r="W114" i="16"/>
  <c r="O114" i="16"/>
  <c r="V114" i="16"/>
  <c r="N114" i="16"/>
  <c r="T114" i="16"/>
  <c r="L114" i="16"/>
  <c r="S114" i="16"/>
  <c r="K114" i="16"/>
  <c r="R114" i="16"/>
  <c r="Q114" i="16"/>
  <c r="M114" i="16"/>
  <c r="J114" i="16"/>
  <c r="G114" i="16"/>
  <c r="U114" i="16"/>
  <c r="I31" i="16"/>
  <c r="AE31" i="16" s="1"/>
  <c r="G31" i="16"/>
  <c r="AC31" i="16" s="1"/>
  <c r="H27" i="16"/>
  <c r="R112" i="16"/>
  <c r="J112" i="16"/>
  <c r="Q112" i="16"/>
  <c r="G112" i="16"/>
  <c r="X112" i="16"/>
  <c r="P112" i="16"/>
  <c r="V112" i="16"/>
  <c r="N112" i="16"/>
  <c r="U112" i="16"/>
  <c r="M112" i="16"/>
  <c r="K112" i="16"/>
  <c r="W112" i="16"/>
  <c r="T112" i="16"/>
  <c r="S112" i="16"/>
  <c r="O112" i="16"/>
  <c r="L112" i="16"/>
  <c r="J21" i="16" l="1"/>
  <c r="I112" i="16"/>
  <c r="AG28" i="16"/>
  <c r="X134" i="16"/>
  <c r="L134" i="16"/>
  <c r="U134" i="16"/>
  <c r="S134" i="16"/>
  <c r="S154" i="16" s="1"/>
  <c r="N134" i="16"/>
  <c r="N154" i="16" s="1"/>
  <c r="V134" i="16"/>
  <c r="O134" i="16"/>
  <c r="O154" i="16" s="1"/>
  <c r="M134" i="16"/>
  <c r="M154" i="16" s="1"/>
  <c r="W134" i="16"/>
  <c r="W154" i="16" s="1"/>
  <c r="P134" i="16"/>
  <c r="J134" i="16"/>
  <c r="T134" i="16"/>
  <c r="Q134" i="16"/>
  <c r="Q154" i="16" s="1"/>
  <c r="R134" i="16"/>
  <c r="G134" i="16"/>
  <c r="G154" i="16" s="1"/>
  <c r="Y135" i="16"/>
  <c r="H135" i="16"/>
  <c r="I135" i="16"/>
  <c r="Q110" i="16"/>
  <c r="Y110" i="16"/>
  <c r="Y150" i="16" s="1"/>
  <c r="H110" i="16"/>
  <c r="H150" i="16" s="1"/>
  <c r="I110" i="16"/>
  <c r="I150" i="16" s="1"/>
  <c r="Y111" i="16"/>
  <c r="I111" i="16"/>
  <c r="H111" i="16"/>
  <c r="U110" i="16"/>
  <c r="K110" i="16"/>
  <c r="Y116" i="16"/>
  <c r="H116" i="16"/>
  <c r="I116" i="16"/>
  <c r="Y131" i="16"/>
  <c r="H131" i="16"/>
  <c r="I131" i="16"/>
  <c r="V110" i="16"/>
  <c r="S110" i="16"/>
  <c r="S150" i="16" s="1"/>
  <c r="H132" i="16"/>
  <c r="H152" i="16" s="1"/>
  <c r="I132" i="16"/>
  <c r="I152" i="16" s="1"/>
  <c r="Y134" i="16"/>
  <c r="Y154" i="16" s="1"/>
  <c r="I134" i="16"/>
  <c r="I154" i="16" s="1"/>
  <c r="H134" i="16"/>
  <c r="N110" i="16"/>
  <c r="O110" i="16"/>
  <c r="L110" i="16"/>
  <c r="L150" i="16" s="1"/>
  <c r="J110" i="16"/>
  <c r="J150" i="16" s="1"/>
  <c r="W110" i="16"/>
  <c r="W150" i="16" s="1"/>
  <c r="T110" i="16"/>
  <c r="T150" i="16" s="1"/>
  <c r="Y115" i="16"/>
  <c r="H115" i="16"/>
  <c r="H155" i="16" s="1"/>
  <c r="I115" i="16"/>
  <c r="I155" i="16" s="1"/>
  <c r="G110" i="16"/>
  <c r="G150" i="16" s="1"/>
  <c r="P110" i="16"/>
  <c r="M110" i="16"/>
  <c r="M150" i="16" s="1"/>
  <c r="X110" i="16"/>
  <c r="X150" i="16" s="1"/>
  <c r="P140" i="16"/>
  <c r="Z100" i="16"/>
  <c r="N140" i="16"/>
  <c r="L144" i="16"/>
  <c r="H144" i="16"/>
  <c r="I144" i="16"/>
  <c r="M140" i="16"/>
  <c r="H140" i="16"/>
  <c r="I140" i="16"/>
  <c r="V140" i="16"/>
  <c r="S144" i="16"/>
  <c r="X140" i="16"/>
  <c r="W140" i="16"/>
  <c r="R140" i="16"/>
  <c r="T144" i="16"/>
  <c r="G140" i="16"/>
  <c r="T140" i="16"/>
  <c r="K140" i="16"/>
  <c r="O140" i="16"/>
  <c r="Q144" i="16"/>
  <c r="V144" i="16"/>
  <c r="U144" i="16"/>
  <c r="N144" i="16"/>
  <c r="J140" i="16"/>
  <c r="U140" i="16"/>
  <c r="W144" i="16"/>
  <c r="L140" i="16"/>
  <c r="K144" i="16"/>
  <c r="X144" i="16"/>
  <c r="M144" i="16"/>
  <c r="G144" i="16"/>
  <c r="R144" i="16"/>
  <c r="O144" i="16"/>
  <c r="Z130" i="16"/>
  <c r="N132" i="16"/>
  <c r="N152" i="16" s="1"/>
  <c r="Y132" i="16"/>
  <c r="Y152" i="16" s="1"/>
  <c r="Q140" i="16"/>
  <c r="Y140" i="16"/>
  <c r="Z114" i="16"/>
  <c r="Z112" i="16"/>
  <c r="AG39" i="16"/>
  <c r="P144" i="16"/>
  <c r="Y144" i="16"/>
  <c r="V132" i="16"/>
  <c r="AG32" i="16"/>
  <c r="S132" i="16"/>
  <c r="S152" i="16" s="1"/>
  <c r="J132" i="16"/>
  <c r="J152" i="16" s="1"/>
  <c r="W132" i="16"/>
  <c r="W152" i="16" s="1"/>
  <c r="O132" i="16"/>
  <c r="O152" i="16" s="1"/>
  <c r="M132" i="16"/>
  <c r="M152" i="16" s="1"/>
  <c r="R154" i="16"/>
  <c r="U154" i="16"/>
  <c r="J16" i="16"/>
  <c r="AG38" i="16" s="1"/>
  <c r="AG33" i="16"/>
  <c r="J13" i="16"/>
  <c r="I22" i="16"/>
  <c r="Z96" i="16"/>
  <c r="Q132" i="16"/>
  <c r="Q152" i="16" s="1"/>
  <c r="X132" i="16"/>
  <c r="X152" i="16" s="1"/>
  <c r="R132" i="16"/>
  <c r="R152" i="16" s="1"/>
  <c r="L132" i="16"/>
  <c r="L152" i="16" s="1"/>
  <c r="G132" i="16"/>
  <c r="T132" i="16"/>
  <c r="T152" i="16" s="1"/>
  <c r="K132" i="16"/>
  <c r="K152" i="16" s="1"/>
  <c r="U132" i="16"/>
  <c r="U152" i="16" s="1"/>
  <c r="P132" i="16"/>
  <c r="P152" i="16" s="1"/>
  <c r="J154" i="16"/>
  <c r="K154" i="16"/>
  <c r="P154" i="16"/>
  <c r="L154" i="16"/>
  <c r="T154" i="16"/>
  <c r="AG41" i="16"/>
  <c r="S111" i="16"/>
  <c r="K111" i="16"/>
  <c r="R111" i="16"/>
  <c r="J111" i="16"/>
  <c r="Q111" i="16"/>
  <c r="G111" i="16"/>
  <c r="W111" i="16"/>
  <c r="O111" i="16"/>
  <c r="V111" i="16"/>
  <c r="N111" i="16"/>
  <c r="X111" i="16"/>
  <c r="U111" i="16"/>
  <c r="T111" i="16"/>
  <c r="P111" i="16"/>
  <c r="M111" i="16"/>
  <c r="L111" i="16"/>
  <c r="Q150" i="16"/>
  <c r="R150" i="16"/>
  <c r="AD27" i="16"/>
  <c r="H43" i="16"/>
  <c r="AG42" i="16"/>
  <c r="V131" i="16"/>
  <c r="N131" i="16"/>
  <c r="U131" i="16"/>
  <c r="M131" i="16"/>
  <c r="T131" i="16"/>
  <c r="J131" i="16"/>
  <c r="S131" i="16"/>
  <c r="G131" i="16"/>
  <c r="R131" i="16"/>
  <c r="P131" i="16"/>
  <c r="O131" i="16"/>
  <c r="L131" i="16"/>
  <c r="K131" i="16"/>
  <c r="X131" i="16"/>
  <c r="W131" i="16"/>
  <c r="Q131" i="16"/>
  <c r="U150" i="16"/>
  <c r="K150" i="16"/>
  <c r="AG29" i="16"/>
  <c r="AF29" i="16"/>
  <c r="V152" i="16"/>
  <c r="V154" i="16"/>
  <c r="AG34" i="16"/>
  <c r="W115" i="16"/>
  <c r="O115" i="16"/>
  <c r="V115" i="16"/>
  <c r="N115" i="16"/>
  <c r="U115" i="16"/>
  <c r="M115" i="16"/>
  <c r="S115" i="16"/>
  <c r="K115" i="16"/>
  <c r="R115" i="16"/>
  <c r="J115" i="16"/>
  <c r="X115" i="16"/>
  <c r="T115" i="16"/>
  <c r="Q115" i="16"/>
  <c r="P115" i="16"/>
  <c r="L115" i="16"/>
  <c r="G115" i="16"/>
  <c r="V150" i="16"/>
  <c r="R135" i="16"/>
  <c r="J135" i="16"/>
  <c r="Q135" i="16"/>
  <c r="G135" i="16"/>
  <c r="P135" i="16"/>
  <c r="O135" i="16"/>
  <c r="X135" i="16"/>
  <c r="N135" i="16"/>
  <c r="V135" i="16"/>
  <c r="L135" i="16"/>
  <c r="U135" i="16"/>
  <c r="K135" i="16"/>
  <c r="W135" i="16"/>
  <c r="T135" i="16"/>
  <c r="S135" i="16"/>
  <c r="M135" i="16"/>
  <c r="O150" i="16"/>
  <c r="P150" i="16"/>
  <c r="AC27" i="16"/>
  <c r="G43" i="16"/>
  <c r="X154" i="16"/>
  <c r="AG37" i="16"/>
  <c r="V116" i="16"/>
  <c r="N116" i="16"/>
  <c r="U116" i="16"/>
  <c r="M116" i="16"/>
  <c r="T116" i="16"/>
  <c r="L116" i="16"/>
  <c r="R116" i="16"/>
  <c r="J116" i="16"/>
  <c r="Q116" i="16"/>
  <c r="G116" i="16"/>
  <c r="X116" i="16"/>
  <c r="W116" i="16"/>
  <c r="S116" i="16"/>
  <c r="P116" i="16"/>
  <c r="O116" i="16"/>
  <c r="K116" i="16"/>
  <c r="AE27" i="16"/>
  <c r="I43" i="16"/>
  <c r="Q136" i="16"/>
  <c r="G136" i="16"/>
  <c r="X136" i="16"/>
  <c r="P136" i="16"/>
  <c r="W136" i="16"/>
  <c r="O136" i="16"/>
  <c r="V136" i="16"/>
  <c r="K136" i="16"/>
  <c r="U136" i="16"/>
  <c r="J136" i="16"/>
  <c r="T136" i="16"/>
  <c r="R136" i="16"/>
  <c r="N136" i="16"/>
  <c r="M136" i="16"/>
  <c r="L136" i="16"/>
  <c r="S136" i="16"/>
  <c r="N150" i="16"/>
  <c r="Y155" i="16" l="1"/>
  <c r="Z134" i="16"/>
  <c r="Z115" i="16"/>
  <c r="Z110" i="16"/>
  <c r="H151" i="16"/>
  <c r="Y113" i="16"/>
  <c r="H113" i="16"/>
  <c r="I113" i="16"/>
  <c r="I153" i="16" s="1"/>
  <c r="I151" i="16"/>
  <c r="Y133" i="16"/>
  <c r="H133" i="16"/>
  <c r="I133" i="16"/>
  <c r="Y136" i="16"/>
  <c r="Y156" i="16" s="1"/>
  <c r="I136" i="16"/>
  <c r="I156" i="16" s="1"/>
  <c r="H136" i="16"/>
  <c r="H156" i="16" s="1"/>
  <c r="Y151" i="16"/>
  <c r="H154" i="16"/>
  <c r="Z154" i="16" s="1"/>
  <c r="H143" i="16"/>
  <c r="I143" i="16"/>
  <c r="H137" i="16"/>
  <c r="I137" i="16"/>
  <c r="Y142" i="16"/>
  <c r="H142" i="16"/>
  <c r="I142" i="16"/>
  <c r="Y138" i="16"/>
  <c r="H138" i="16"/>
  <c r="I138" i="16"/>
  <c r="Y145" i="16"/>
  <c r="H145" i="16"/>
  <c r="I145" i="16"/>
  <c r="Y141" i="16"/>
  <c r="H141" i="16"/>
  <c r="I141" i="16"/>
  <c r="Y146" i="16"/>
  <c r="I146" i="16"/>
  <c r="H146" i="16"/>
  <c r="Z140" i="16"/>
  <c r="Z144" i="16"/>
  <c r="R143" i="16"/>
  <c r="Y143" i="16"/>
  <c r="M143" i="16"/>
  <c r="U143" i="16"/>
  <c r="N143" i="16"/>
  <c r="P143" i="16"/>
  <c r="L143" i="16"/>
  <c r="T143" i="16"/>
  <c r="X143" i="16"/>
  <c r="O143" i="16"/>
  <c r="G143" i="16"/>
  <c r="V143" i="16"/>
  <c r="S143" i="16"/>
  <c r="J22" i="16"/>
  <c r="R137" i="16"/>
  <c r="Y137" i="16"/>
  <c r="Z131" i="16"/>
  <c r="K143" i="16"/>
  <c r="Z116" i="16"/>
  <c r="Q143" i="16"/>
  <c r="Z150" i="16"/>
  <c r="Z111" i="16"/>
  <c r="W143" i="16"/>
  <c r="J143" i="16"/>
  <c r="G152" i="16"/>
  <c r="Z152" i="16" s="1"/>
  <c r="Z132" i="16"/>
  <c r="Z135" i="16"/>
  <c r="U156" i="16"/>
  <c r="N137" i="16"/>
  <c r="O137" i="16"/>
  <c r="J137" i="16"/>
  <c r="M137" i="16"/>
  <c r="U137" i="16"/>
  <c r="S137" i="16"/>
  <c r="T137" i="16"/>
  <c r="V137" i="16"/>
  <c r="K137" i="16"/>
  <c r="W137" i="16"/>
  <c r="L137" i="16"/>
  <c r="P137" i="16"/>
  <c r="Q137" i="16"/>
  <c r="X137" i="16"/>
  <c r="G137" i="16"/>
  <c r="AG35" i="16"/>
  <c r="P155" i="16"/>
  <c r="V151" i="16"/>
  <c r="S151" i="16"/>
  <c r="R156" i="16"/>
  <c r="P156" i="16"/>
  <c r="L156" i="16"/>
  <c r="J155" i="16"/>
  <c r="O155" i="16"/>
  <c r="T151" i="16"/>
  <c r="R155" i="16"/>
  <c r="W155" i="16"/>
  <c r="J151" i="16"/>
  <c r="S146" i="16"/>
  <c r="K146" i="16"/>
  <c r="Q146" i="16"/>
  <c r="G146" i="16"/>
  <c r="W146" i="16"/>
  <c r="O146" i="16"/>
  <c r="V146" i="16"/>
  <c r="N146" i="16"/>
  <c r="U146" i="16"/>
  <c r="M146" i="16"/>
  <c r="P146" i="16"/>
  <c r="L146" i="16"/>
  <c r="J146" i="16"/>
  <c r="X146" i="16"/>
  <c r="T146" i="16"/>
  <c r="R146" i="16"/>
  <c r="U151" i="16"/>
  <c r="S156" i="16"/>
  <c r="T156" i="16"/>
  <c r="G155" i="16"/>
  <c r="K155" i="16"/>
  <c r="X151" i="16"/>
  <c r="R151" i="16"/>
  <c r="W156" i="16"/>
  <c r="M156" i="16"/>
  <c r="W142" i="16"/>
  <c r="O142" i="16"/>
  <c r="U142" i="16"/>
  <c r="M142" i="16"/>
  <c r="S142" i="16"/>
  <c r="K142" i="16"/>
  <c r="R142" i="16"/>
  <c r="J142" i="16"/>
  <c r="Q142" i="16"/>
  <c r="G142" i="16"/>
  <c r="T142" i="16"/>
  <c r="P142" i="16"/>
  <c r="N142" i="16"/>
  <c r="X142" i="16"/>
  <c r="V142" i="16"/>
  <c r="L142" i="16"/>
  <c r="L155" i="16"/>
  <c r="S155" i="16"/>
  <c r="N151" i="16"/>
  <c r="K151" i="16"/>
  <c r="T145" i="16"/>
  <c r="L145" i="16"/>
  <c r="R145" i="16"/>
  <c r="J145" i="16"/>
  <c r="X145" i="16"/>
  <c r="P145" i="16"/>
  <c r="W145" i="16"/>
  <c r="O145" i="16"/>
  <c r="V145" i="16"/>
  <c r="N145" i="16"/>
  <c r="K145" i="16"/>
  <c r="G145" i="16"/>
  <c r="U145" i="16"/>
  <c r="S145" i="16"/>
  <c r="Q145" i="16"/>
  <c r="M145" i="16"/>
  <c r="X156" i="16"/>
  <c r="M155" i="16"/>
  <c r="Q113" i="16"/>
  <c r="G113" i="16"/>
  <c r="X113" i="16"/>
  <c r="P113" i="16"/>
  <c r="W113" i="16"/>
  <c r="O113" i="16"/>
  <c r="U113" i="16"/>
  <c r="M113" i="16"/>
  <c r="T113" i="16"/>
  <c r="L113" i="16"/>
  <c r="N113" i="16"/>
  <c r="K113" i="16"/>
  <c r="J113" i="16"/>
  <c r="V113" i="16"/>
  <c r="S113" i="16"/>
  <c r="R113" i="16"/>
  <c r="G156" i="16"/>
  <c r="N156" i="16"/>
  <c r="Q155" i="16"/>
  <c r="U155" i="16"/>
  <c r="T133" i="16"/>
  <c r="L133" i="16"/>
  <c r="S133" i="16"/>
  <c r="K133" i="16"/>
  <c r="R133" i="16"/>
  <c r="Q133" i="16"/>
  <c r="P133" i="16"/>
  <c r="X133" i="16"/>
  <c r="N133" i="16"/>
  <c r="W133" i="16"/>
  <c r="M133" i="16"/>
  <c r="G133" i="16"/>
  <c r="V133" i="16"/>
  <c r="U133" i="16"/>
  <c r="O133" i="16"/>
  <c r="J133" i="16"/>
  <c r="L151" i="16"/>
  <c r="O151" i="16"/>
  <c r="Q156" i="16"/>
  <c r="V156" i="16"/>
  <c r="T155" i="16"/>
  <c r="N155" i="16"/>
  <c r="M151" i="16"/>
  <c r="W151" i="16"/>
  <c r="K156" i="16"/>
  <c r="J156" i="16"/>
  <c r="X155" i="16"/>
  <c r="V155" i="16"/>
  <c r="W138" i="16"/>
  <c r="O138" i="16"/>
  <c r="V138" i="16"/>
  <c r="N138" i="16"/>
  <c r="U138" i="16"/>
  <c r="M138" i="16"/>
  <c r="P138" i="16"/>
  <c r="L138" i="16"/>
  <c r="K138" i="16"/>
  <c r="T138" i="16"/>
  <c r="G138" i="16"/>
  <c r="S138" i="16"/>
  <c r="Q138" i="16"/>
  <c r="J138" i="16"/>
  <c r="X138" i="16"/>
  <c r="R138" i="16"/>
  <c r="P151" i="16"/>
  <c r="G151" i="16"/>
  <c r="O156" i="16"/>
  <c r="X141" i="16"/>
  <c r="P141" i="16"/>
  <c r="V141" i="16"/>
  <c r="N141" i="16"/>
  <c r="T141" i="16"/>
  <c r="L141" i="16"/>
  <c r="S141" i="16"/>
  <c r="K141" i="16"/>
  <c r="R141" i="16"/>
  <c r="J141" i="16"/>
  <c r="O141" i="16"/>
  <c r="M141" i="16"/>
  <c r="G141" i="16"/>
  <c r="W141" i="16"/>
  <c r="U141" i="16"/>
  <c r="Q141" i="16"/>
  <c r="Q151" i="16"/>
  <c r="Y153" i="16" l="1"/>
  <c r="Z136" i="16"/>
  <c r="H153" i="16"/>
  <c r="Y139" i="16"/>
  <c r="Y148" i="16" s="1"/>
  <c r="I139" i="16"/>
  <c r="I147" i="16" s="1"/>
  <c r="H139" i="16"/>
  <c r="H147" i="16" s="1"/>
  <c r="Z146" i="16"/>
  <c r="Z142" i="16"/>
  <c r="Z113" i="16"/>
  <c r="Z156" i="16"/>
  <c r="Z145" i="16"/>
  <c r="Z137" i="16"/>
  <c r="Z133" i="16"/>
  <c r="Z143" i="16"/>
  <c r="Z138" i="16"/>
  <c r="Z151" i="16"/>
  <c r="Z141" i="16"/>
  <c r="Z155" i="16"/>
  <c r="U139" i="16"/>
  <c r="U148" i="16" s="1"/>
  <c r="Q139" i="16"/>
  <c r="Q147" i="16" s="1"/>
  <c r="J139" i="16"/>
  <c r="J148" i="16" s="1"/>
  <c r="M139" i="16"/>
  <c r="M148" i="16" s="1"/>
  <c r="S139" i="16"/>
  <c r="S148" i="16" s="1"/>
  <c r="X139" i="16"/>
  <c r="X148" i="16" s="1"/>
  <c r="T139" i="16"/>
  <c r="T148" i="16" s="1"/>
  <c r="O139" i="16"/>
  <c r="O148" i="16" s="1"/>
  <c r="L139" i="16"/>
  <c r="L148" i="16" s="1"/>
  <c r="K139" i="16"/>
  <c r="K148" i="16" s="1"/>
  <c r="P139" i="16"/>
  <c r="P148" i="16" s="1"/>
  <c r="G139" i="16"/>
  <c r="R139" i="16"/>
  <c r="R148" i="16" s="1"/>
  <c r="V139" i="16"/>
  <c r="V147" i="16" s="1"/>
  <c r="W139" i="16"/>
  <c r="W148" i="16" s="1"/>
  <c r="N139" i="16"/>
  <c r="N148" i="16" s="1"/>
  <c r="L147" i="16"/>
  <c r="Q148" i="16"/>
  <c r="N153" i="16"/>
  <c r="X153" i="16"/>
  <c r="L153" i="16"/>
  <c r="T153" i="16"/>
  <c r="Q153" i="16"/>
  <c r="G153" i="16"/>
  <c r="R153" i="16"/>
  <c r="M153" i="16"/>
  <c r="S153" i="16"/>
  <c r="U153" i="16"/>
  <c r="V153" i="16"/>
  <c r="O153" i="16"/>
  <c r="J153" i="16"/>
  <c r="W153" i="16"/>
  <c r="K153" i="16"/>
  <c r="P153" i="16"/>
  <c r="Y147" i="16" l="1"/>
  <c r="P147" i="16"/>
  <c r="H148" i="16"/>
  <c r="I148" i="16"/>
  <c r="O147" i="16"/>
  <c r="N147" i="16"/>
  <c r="K147" i="16"/>
  <c r="G147" i="16"/>
  <c r="Z139" i="16"/>
  <c r="Z147" i="16" s="1"/>
  <c r="F40" i="16"/>
  <c r="G40" i="16"/>
  <c r="H40" i="16"/>
  <c r="AD40" i="16" s="1"/>
  <c r="Z153" i="16"/>
  <c r="F36" i="16"/>
  <c r="G36" i="16"/>
  <c r="H36" i="16"/>
  <c r="AD36" i="16" s="1"/>
  <c r="J147" i="16"/>
  <c r="V148" i="16"/>
  <c r="U147" i="16"/>
  <c r="R147" i="16"/>
  <c r="S147" i="16"/>
  <c r="T147" i="16"/>
  <c r="W147" i="16"/>
  <c r="X147" i="16"/>
  <c r="M147" i="16"/>
  <c r="G148" i="16"/>
  <c r="Z148" i="16" l="1"/>
  <c r="AA148" i="16" s="1"/>
  <c r="G42" i="16"/>
  <c r="F42" i="16"/>
  <c r="H42" i="16"/>
  <c r="AD42" i="16" s="1"/>
  <c r="F34" i="16"/>
  <c r="G34" i="16"/>
  <c r="H34" i="16"/>
  <c r="AD34" i="16" s="1"/>
  <c r="I36" i="16"/>
  <c r="AC36" i="16"/>
  <c r="I40" i="16"/>
  <c r="AC40" i="16"/>
  <c r="G41" i="16"/>
  <c r="F41" i="16"/>
  <c r="H41" i="16"/>
  <c r="AD41" i="16" s="1"/>
  <c r="F39" i="16"/>
  <c r="H39" i="16"/>
  <c r="AD39" i="16" s="1"/>
  <c r="G39" i="16"/>
  <c r="AB36" i="16"/>
  <c r="N36" i="16"/>
  <c r="AB40" i="16"/>
  <c r="N40" i="16"/>
  <c r="AA147" i="16"/>
  <c r="F37" i="16"/>
  <c r="H37" i="16"/>
  <c r="AD37" i="16" s="1"/>
  <c r="G37" i="16"/>
  <c r="AB39" i="16" l="1"/>
  <c r="N39" i="16"/>
  <c r="F35" i="16"/>
  <c r="G35" i="16"/>
  <c r="H35" i="16"/>
  <c r="AD35" i="16" s="1"/>
  <c r="N41" i="16"/>
  <c r="AB41" i="16"/>
  <c r="N34" i="16"/>
  <c r="AB34" i="16"/>
  <c r="N42" i="16"/>
  <c r="AB42" i="16"/>
  <c r="I42" i="16"/>
  <c r="AC42" i="16"/>
  <c r="I41" i="16"/>
  <c r="AC41" i="16"/>
  <c r="I34" i="16"/>
  <c r="AC34" i="16"/>
  <c r="J40" i="16"/>
  <c r="AE40" i="16"/>
  <c r="F38" i="16"/>
  <c r="G38" i="16"/>
  <c r="H38" i="16"/>
  <c r="AD38" i="16" s="1"/>
  <c r="I37" i="16"/>
  <c r="AC37" i="16"/>
  <c r="AB37" i="16"/>
  <c r="N37" i="16"/>
  <c r="I39" i="16"/>
  <c r="AC39" i="16"/>
  <c r="J36" i="16"/>
  <c r="AE36" i="16"/>
  <c r="AF40" i="16" l="1"/>
  <c r="L40" i="16"/>
  <c r="O40" i="16"/>
  <c r="P40" i="16" s="1"/>
  <c r="J42" i="16"/>
  <c r="AE42" i="16"/>
  <c r="I35" i="16"/>
  <c r="AC35" i="16"/>
  <c r="J39" i="16"/>
  <c r="AE39" i="16"/>
  <c r="J37" i="16"/>
  <c r="AE37" i="16"/>
  <c r="AB35" i="16"/>
  <c r="N35" i="16"/>
  <c r="J34" i="16"/>
  <c r="AE34" i="16"/>
  <c r="I38" i="16"/>
  <c r="AC38" i="16"/>
  <c r="AF36" i="16"/>
  <c r="L36" i="16"/>
  <c r="O36" i="16"/>
  <c r="P36" i="16" s="1"/>
  <c r="AB38" i="16"/>
  <c r="N38" i="16"/>
  <c r="J41" i="16"/>
  <c r="AE41" i="16"/>
  <c r="N44" i="16"/>
  <c r="H120" i="16" l="1"/>
  <c r="H160" i="16" s="1"/>
  <c r="I120" i="16"/>
  <c r="I160" i="16" s="1"/>
  <c r="H124" i="16"/>
  <c r="H164" i="16" s="1"/>
  <c r="I124" i="16"/>
  <c r="I164" i="16" s="1"/>
  <c r="L39" i="16"/>
  <c r="AF39" i="16"/>
  <c r="O39" i="16"/>
  <c r="P39" i="16" s="1"/>
  <c r="J35" i="16"/>
  <c r="AE35" i="16"/>
  <c r="L34" i="16"/>
  <c r="AF34" i="16"/>
  <c r="O34" i="16"/>
  <c r="L42" i="16"/>
  <c r="AF42" i="16"/>
  <c r="O42" i="16"/>
  <c r="P42" i="16" s="1"/>
  <c r="Y120" i="16"/>
  <c r="Y160" i="16" s="1"/>
  <c r="J120" i="16"/>
  <c r="J160" i="16" s="1"/>
  <c r="M120" i="16"/>
  <c r="M160" i="16" s="1"/>
  <c r="Q120" i="16"/>
  <c r="Q160" i="16" s="1"/>
  <c r="W120" i="16"/>
  <c r="W160" i="16" s="1"/>
  <c r="G120" i="16"/>
  <c r="T120" i="16"/>
  <c r="T160" i="16" s="1"/>
  <c r="X120" i="16"/>
  <c r="X160" i="16" s="1"/>
  <c r="S120" i="16"/>
  <c r="S160" i="16" s="1"/>
  <c r="P120" i="16"/>
  <c r="P160" i="16" s="1"/>
  <c r="O120" i="16"/>
  <c r="O160" i="16" s="1"/>
  <c r="V120" i="16"/>
  <c r="V160" i="16" s="1"/>
  <c r="L120" i="16"/>
  <c r="L160" i="16" s="1"/>
  <c r="N120" i="16"/>
  <c r="N160" i="16" s="1"/>
  <c r="R120" i="16"/>
  <c r="R160" i="16" s="1"/>
  <c r="U120" i="16"/>
  <c r="U160" i="16" s="1"/>
  <c r="K120" i="16"/>
  <c r="K160" i="16" s="1"/>
  <c r="O41" i="16"/>
  <c r="P41" i="16" s="1"/>
  <c r="L41" i="16"/>
  <c r="AF41" i="16"/>
  <c r="O37" i="16"/>
  <c r="P37" i="16" s="1"/>
  <c r="L37" i="16"/>
  <c r="AF37" i="16"/>
  <c r="J38" i="16"/>
  <c r="AE38" i="16"/>
  <c r="Y124" i="16"/>
  <c r="Y164" i="16" s="1"/>
  <c r="R124" i="16"/>
  <c r="R164" i="16" s="1"/>
  <c r="X124" i="16"/>
  <c r="X164" i="16" s="1"/>
  <c r="J124" i="16"/>
  <c r="J164" i="16" s="1"/>
  <c r="W124" i="16"/>
  <c r="W164" i="16" s="1"/>
  <c r="V124" i="16"/>
  <c r="V164" i="16" s="1"/>
  <c r="Q124" i="16"/>
  <c r="Q164" i="16" s="1"/>
  <c r="T124" i="16"/>
  <c r="T164" i="16" s="1"/>
  <c r="N124" i="16"/>
  <c r="N164" i="16" s="1"/>
  <c r="G124" i="16"/>
  <c r="U124" i="16"/>
  <c r="U164" i="16" s="1"/>
  <c r="S124" i="16"/>
  <c r="S164" i="16" s="1"/>
  <c r="O124" i="16"/>
  <c r="O164" i="16" s="1"/>
  <c r="M124" i="16"/>
  <c r="M164" i="16" s="1"/>
  <c r="P124" i="16"/>
  <c r="P164" i="16" s="1"/>
  <c r="L124" i="16"/>
  <c r="L164" i="16" s="1"/>
  <c r="K124" i="16"/>
  <c r="K164" i="16" s="1"/>
  <c r="H126" i="16" l="1"/>
  <c r="H166" i="16" s="1"/>
  <c r="I126" i="16"/>
  <c r="I166" i="16" s="1"/>
  <c r="H123" i="16"/>
  <c r="H163" i="16" s="1"/>
  <c r="I123" i="16"/>
  <c r="I163" i="16" s="1"/>
  <c r="H121" i="16"/>
  <c r="H161" i="16" s="1"/>
  <c r="I121" i="16"/>
  <c r="I161" i="16" s="1"/>
  <c r="H125" i="16"/>
  <c r="H165" i="16" s="1"/>
  <c r="I125" i="16"/>
  <c r="I165" i="16" s="1"/>
  <c r="I118" i="16"/>
  <c r="I158" i="16" s="1"/>
  <c r="H118" i="16"/>
  <c r="H158" i="16" s="1"/>
  <c r="P34" i="16"/>
  <c r="Y118" i="16"/>
  <c r="Y158" i="16" s="1"/>
  <c r="P118" i="16"/>
  <c r="P158" i="16" s="1"/>
  <c r="Q118" i="16"/>
  <c r="Q158" i="16" s="1"/>
  <c r="M118" i="16"/>
  <c r="M158" i="16" s="1"/>
  <c r="T118" i="16"/>
  <c r="T158" i="16" s="1"/>
  <c r="W118" i="16"/>
  <c r="W158" i="16" s="1"/>
  <c r="X118" i="16"/>
  <c r="X158" i="16" s="1"/>
  <c r="L118" i="16"/>
  <c r="L158" i="16" s="1"/>
  <c r="O118" i="16"/>
  <c r="O158" i="16" s="1"/>
  <c r="S118" i="16"/>
  <c r="S158" i="16" s="1"/>
  <c r="N118" i="16"/>
  <c r="N158" i="16" s="1"/>
  <c r="K118" i="16"/>
  <c r="K158" i="16" s="1"/>
  <c r="R118" i="16"/>
  <c r="R158" i="16" s="1"/>
  <c r="G118" i="16"/>
  <c r="U118" i="16"/>
  <c r="U158" i="16" s="1"/>
  <c r="J118" i="16"/>
  <c r="J158" i="16" s="1"/>
  <c r="V118" i="16"/>
  <c r="V158" i="16" s="1"/>
  <c r="L38" i="16"/>
  <c r="AF38" i="16"/>
  <c r="O38" i="16"/>
  <c r="P38" i="16" s="1"/>
  <c r="Y121" i="16"/>
  <c r="Y161" i="16" s="1"/>
  <c r="P121" i="16"/>
  <c r="P161" i="16" s="1"/>
  <c r="S121" i="16"/>
  <c r="S161" i="16" s="1"/>
  <c r="X121" i="16"/>
  <c r="X161" i="16" s="1"/>
  <c r="W121" i="16"/>
  <c r="W161" i="16" s="1"/>
  <c r="R121" i="16"/>
  <c r="R161" i="16" s="1"/>
  <c r="M121" i="16"/>
  <c r="M161" i="16" s="1"/>
  <c r="O121" i="16"/>
  <c r="O161" i="16" s="1"/>
  <c r="N121" i="16"/>
  <c r="N161" i="16" s="1"/>
  <c r="U121" i="16"/>
  <c r="U161" i="16" s="1"/>
  <c r="K121" i="16"/>
  <c r="K161" i="16" s="1"/>
  <c r="J121" i="16"/>
  <c r="J161" i="16" s="1"/>
  <c r="V121" i="16"/>
  <c r="V161" i="16" s="1"/>
  <c r="Q121" i="16"/>
  <c r="Q161" i="16" s="1"/>
  <c r="T121" i="16"/>
  <c r="T161" i="16" s="1"/>
  <c r="G121" i="16"/>
  <c r="L121" i="16"/>
  <c r="L161" i="16" s="1"/>
  <c r="L35" i="16"/>
  <c r="AF35" i="16"/>
  <c r="O35" i="16"/>
  <c r="P35" i="16" s="1"/>
  <c r="Y125" i="16"/>
  <c r="Y165" i="16" s="1"/>
  <c r="S125" i="16"/>
  <c r="S165" i="16" s="1"/>
  <c r="R125" i="16"/>
  <c r="R165" i="16" s="1"/>
  <c r="L125" i="16"/>
  <c r="L165" i="16" s="1"/>
  <c r="K125" i="16"/>
  <c r="K165" i="16" s="1"/>
  <c r="O125" i="16"/>
  <c r="O165" i="16" s="1"/>
  <c r="Q125" i="16"/>
  <c r="Q165" i="16" s="1"/>
  <c r="N125" i="16"/>
  <c r="N165" i="16" s="1"/>
  <c r="G125" i="16"/>
  <c r="J125" i="16"/>
  <c r="J165" i="16" s="1"/>
  <c r="V125" i="16"/>
  <c r="V165" i="16" s="1"/>
  <c r="U125" i="16"/>
  <c r="U165" i="16" s="1"/>
  <c r="X125" i="16"/>
  <c r="X165" i="16" s="1"/>
  <c r="M125" i="16"/>
  <c r="M165" i="16" s="1"/>
  <c r="P125" i="16"/>
  <c r="P165" i="16" s="1"/>
  <c r="T125" i="16"/>
  <c r="T165" i="16" s="1"/>
  <c r="W125" i="16"/>
  <c r="W165" i="16" s="1"/>
  <c r="Z124" i="16"/>
  <c r="G164" i="16"/>
  <c r="Z164" i="16" s="1"/>
  <c r="Y126" i="16"/>
  <c r="Y166" i="16" s="1"/>
  <c r="R126" i="16"/>
  <c r="R166" i="16" s="1"/>
  <c r="Q126" i="16"/>
  <c r="Q166" i="16" s="1"/>
  <c r="L126" i="16"/>
  <c r="L166" i="16" s="1"/>
  <c r="J126" i="16"/>
  <c r="J166" i="16" s="1"/>
  <c r="N126" i="16"/>
  <c r="N166" i="16" s="1"/>
  <c r="X126" i="16"/>
  <c r="X166" i="16" s="1"/>
  <c r="M126" i="16"/>
  <c r="M166" i="16" s="1"/>
  <c r="W126" i="16"/>
  <c r="W166" i="16" s="1"/>
  <c r="P126" i="16"/>
  <c r="P166" i="16" s="1"/>
  <c r="G126" i="16"/>
  <c r="T126" i="16"/>
  <c r="T166" i="16" s="1"/>
  <c r="O126" i="16"/>
  <c r="O166" i="16" s="1"/>
  <c r="U126" i="16"/>
  <c r="U166" i="16" s="1"/>
  <c r="S126" i="16"/>
  <c r="S166" i="16" s="1"/>
  <c r="V126" i="16"/>
  <c r="V166" i="16" s="1"/>
  <c r="K126" i="16"/>
  <c r="K166" i="16" s="1"/>
  <c r="Y123" i="16"/>
  <c r="Y163" i="16" s="1"/>
  <c r="W123" i="16"/>
  <c r="W163" i="16" s="1"/>
  <c r="R123" i="16"/>
  <c r="R163" i="16" s="1"/>
  <c r="O123" i="16"/>
  <c r="O163" i="16" s="1"/>
  <c r="J123" i="16"/>
  <c r="J163" i="16" s="1"/>
  <c r="V123" i="16"/>
  <c r="V163" i="16" s="1"/>
  <c r="P123" i="16"/>
  <c r="P163" i="16" s="1"/>
  <c r="S123" i="16"/>
  <c r="S163" i="16" s="1"/>
  <c r="N123" i="16"/>
  <c r="N163" i="16" s="1"/>
  <c r="L123" i="16"/>
  <c r="L163" i="16" s="1"/>
  <c r="U123" i="16"/>
  <c r="U163" i="16" s="1"/>
  <c r="G123" i="16"/>
  <c r="T123" i="16"/>
  <c r="T163" i="16" s="1"/>
  <c r="M123" i="16"/>
  <c r="M163" i="16" s="1"/>
  <c r="X123" i="16"/>
  <c r="X163" i="16" s="1"/>
  <c r="K123" i="16"/>
  <c r="K163" i="16" s="1"/>
  <c r="Q123" i="16"/>
  <c r="Q163" i="16" s="1"/>
  <c r="Z120" i="16"/>
  <c r="G160" i="16"/>
  <c r="Z160" i="16" s="1"/>
  <c r="H122" i="16" l="1"/>
  <c r="H162" i="16" s="1"/>
  <c r="I122" i="16"/>
  <c r="I162" i="16" s="1"/>
  <c r="I119" i="16"/>
  <c r="I159" i="16" s="1"/>
  <c r="H119" i="16"/>
  <c r="H159" i="16" s="1"/>
  <c r="Z118" i="16"/>
  <c r="G158" i="16"/>
  <c r="Z158" i="16" s="1"/>
  <c r="Y122" i="16"/>
  <c r="Y162" i="16" s="1"/>
  <c r="X122" i="16"/>
  <c r="X162" i="16" s="1"/>
  <c r="S122" i="16"/>
  <c r="S162" i="16" s="1"/>
  <c r="P122" i="16"/>
  <c r="P162" i="16" s="1"/>
  <c r="K122" i="16"/>
  <c r="K162" i="16" s="1"/>
  <c r="W122" i="16"/>
  <c r="W162" i="16" s="1"/>
  <c r="J122" i="16"/>
  <c r="J162" i="16" s="1"/>
  <c r="L122" i="16"/>
  <c r="L162" i="16" s="1"/>
  <c r="O122" i="16"/>
  <c r="O162" i="16" s="1"/>
  <c r="G122" i="16"/>
  <c r="V122" i="16"/>
  <c r="V162" i="16" s="1"/>
  <c r="U122" i="16"/>
  <c r="U162" i="16" s="1"/>
  <c r="N122" i="16"/>
  <c r="N162" i="16" s="1"/>
  <c r="R122" i="16"/>
  <c r="R162" i="16" s="1"/>
  <c r="T122" i="16"/>
  <c r="T162" i="16" s="1"/>
  <c r="Q122" i="16"/>
  <c r="Q162" i="16" s="1"/>
  <c r="M122" i="16"/>
  <c r="M162" i="16" s="1"/>
  <c r="Z121" i="16"/>
  <c r="G161" i="16"/>
  <c r="Z161" i="16" s="1"/>
  <c r="G33" i="16"/>
  <c r="H33" i="16"/>
  <c r="F33" i="16"/>
  <c r="Z123" i="16"/>
  <c r="G163" i="16"/>
  <c r="Z163" i="16" s="1"/>
  <c r="Y119" i="16"/>
  <c r="Y159" i="16" s="1"/>
  <c r="X119" i="16"/>
  <c r="G119" i="16"/>
  <c r="O119" i="16"/>
  <c r="O159" i="16" s="1"/>
  <c r="L119" i="16"/>
  <c r="L159" i="16" s="1"/>
  <c r="R119" i="16"/>
  <c r="R159" i="16" s="1"/>
  <c r="W119" i="16"/>
  <c r="T119" i="16"/>
  <c r="U119" i="16"/>
  <c r="S119" i="16"/>
  <c r="J119" i="16"/>
  <c r="M119" i="16"/>
  <c r="V119" i="16"/>
  <c r="P119" i="16"/>
  <c r="N119" i="16"/>
  <c r="N159" i="16" s="1"/>
  <c r="K119" i="16"/>
  <c r="Q119" i="16"/>
  <c r="Q159" i="16" s="1"/>
  <c r="Z126" i="16"/>
  <c r="G166" i="16"/>
  <c r="Z166" i="16" s="1"/>
  <c r="O44" i="16"/>
  <c r="Z125" i="16"/>
  <c r="G165" i="16"/>
  <c r="Z165" i="16" s="1"/>
  <c r="P44" i="16"/>
  <c r="I33" i="16" l="1"/>
  <c r="G44" i="16"/>
  <c r="AC33" i="16"/>
  <c r="Z119" i="16"/>
  <c r="G159" i="16"/>
  <c r="Z122" i="16"/>
  <c r="G162" i="16"/>
  <c r="Z162" i="16" s="1"/>
  <c r="P159" i="16"/>
  <c r="H44" i="16"/>
  <c r="AD33" i="16"/>
  <c r="S159" i="16"/>
  <c r="X159" i="16"/>
  <c r="U159" i="16"/>
  <c r="V159" i="16"/>
  <c r="M159" i="16"/>
  <c r="J159" i="16"/>
  <c r="K159" i="16"/>
  <c r="T159" i="16"/>
  <c r="F44" i="16"/>
  <c r="N33" i="16"/>
  <c r="AB33" i="16"/>
  <c r="W159" i="16"/>
  <c r="Z159" i="16" l="1"/>
  <c r="J33" i="16"/>
  <c r="I44" i="16"/>
  <c r="AE33" i="16"/>
  <c r="L33" i="16" l="1"/>
  <c r="L44" i="16" s="1"/>
  <c r="J44" i="16"/>
  <c r="AF33" i="16"/>
  <c r="O33" i="16"/>
  <c r="P33" i="16" s="1"/>
  <c r="H117" i="16" l="1"/>
  <c r="I117" i="16"/>
  <c r="M117" i="16"/>
  <c r="Y117" i="16"/>
  <c r="G117" i="16"/>
  <c r="R117" i="16"/>
  <c r="S117" i="16"/>
  <c r="K117" i="16"/>
  <c r="W117" i="16"/>
  <c r="O117" i="16"/>
  <c r="L117" i="16"/>
  <c r="J117" i="16"/>
  <c r="U117" i="16"/>
  <c r="T117" i="16"/>
  <c r="V117" i="16"/>
  <c r="P117" i="16"/>
  <c r="N117" i="16"/>
  <c r="X117" i="16"/>
  <c r="Q117" i="16"/>
  <c r="D20" i="12"/>
  <c r="D19" i="12"/>
  <c r="D18" i="12"/>
  <c r="D17" i="12"/>
  <c r="D16" i="12"/>
  <c r="D15" i="12"/>
  <c r="D14" i="12"/>
  <c r="D13" i="12"/>
  <c r="D12" i="12"/>
  <c r="D11" i="12"/>
  <c r="F82" i="12"/>
  <c r="F81" i="12"/>
  <c r="F80" i="12"/>
  <c r="F79" i="12"/>
  <c r="F78" i="12"/>
  <c r="F77" i="12"/>
  <c r="F76" i="12"/>
  <c r="F75" i="12"/>
  <c r="F74" i="12"/>
  <c r="F73" i="12"/>
  <c r="A24" i="13"/>
  <c r="A22" i="13"/>
  <c r="A20" i="13"/>
  <c r="A18" i="13"/>
  <c r="A16" i="13"/>
  <c r="A14" i="13"/>
  <c r="E6" i="13"/>
  <c r="E8" i="13"/>
  <c r="E10" i="13"/>
  <c r="E12" i="13"/>
  <c r="E14" i="13"/>
  <c r="E16" i="13"/>
  <c r="E18" i="13"/>
  <c r="E20" i="13"/>
  <c r="E22" i="13"/>
  <c r="E24" i="13"/>
  <c r="E26" i="13"/>
  <c r="H4" i="12"/>
  <c r="I4" i="12"/>
  <c r="I26" i="12"/>
  <c r="H5" i="12"/>
  <c r="I5" i="12"/>
  <c r="I27" i="12"/>
  <c r="H6" i="12"/>
  <c r="I6" i="12"/>
  <c r="I28" i="12"/>
  <c r="H7" i="12"/>
  <c r="I7" i="12"/>
  <c r="I29" i="12"/>
  <c r="H8" i="12"/>
  <c r="I8" i="12"/>
  <c r="I30" i="12"/>
  <c r="H9" i="12"/>
  <c r="I9" i="12"/>
  <c r="I31" i="12"/>
  <c r="H10" i="12"/>
  <c r="I10" i="12"/>
  <c r="I32" i="12"/>
  <c r="I43" i="12"/>
  <c r="I44" i="12"/>
  <c r="H44" i="12"/>
  <c r="G44" i="12"/>
  <c r="F44" i="12"/>
  <c r="C37" i="11"/>
  <c r="C31" i="11"/>
  <c r="C27" i="11"/>
  <c r="C24" i="11"/>
  <c r="C21" i="11"/>
  <c r="C17" i="11"/>
  <c r="C13" i="11"/>
  <c r="C9" i="11"/>
  <c r="C6" i="11"/>
  <c r="C5" i="11"/>
  <c r="F4" i="12"/>
  <c r="J4" i="12"/>
  <c r="F5" i="12"/>
  <c r="J5" i="12"/>
  <c r="F6" i="12"/>
  <c r="J6" i="12"/>
  <c r="V28" i="12"/>
  <c r="F7" i="12"/>
  <c r="J7" i="12"/>
  <c r="F8" i="12"/>
  <c r="J8" i="12"/>
  <c r="F9" i="12"/>
  <c r="J9" i="12"/>
  <c r="F10" i="12"/>
  <c r="J10" i="12"/>
  <c r="F11" i="12"/>
  <c r="G11" i="12"/>
  <c r="H11" i="12"/>
  <c r="I11" i="12"/>
  <c r="F12" i="12"/>
  <c r="G12" i="12"/>
  <c r="I12" i="12"/>
  <c r="H12" i="12"/>
  <c r="C13" i="12"/>
  <c r="G13" i="12"/>
  <c r="H13" i="12"/>
  <c r="C14" i="12"/>
  <c r="G14" i="12"/>
  <c r="H14" i="12"/>
  <c r="I14" i="12"/>
  <c r="T36" i="12"/>
  <c r="J14" i="12"/>
  <c r="V36" i="12"/>
  <c r="C15" i="12"/>
  <c r="G15" i="12"/>
  <c r="H15" i="12"/>
  <c r="I15" i="12"/>
  <c r="J15" i="12"/>
  <c r="V37" i="12"/>
  <c r="C16" i="12"/>
  <c r="G16" i="12"/>
  <c r="H16" i="12"/>
  <c r="S38" i="12"/>
  <c r="C17" i="12"/>
  <c r="G17" i="12"/>
  <c r="H17" i="12"/>
  <c r="C18" i="12"/>
  <c r="C40" i="12"/>
  <c r="G18" i="12"/>
  <c r="H18" i="12"/>
  <c r="I18" i="12"/>
  <c r="T40" i="12"/>
  <c r="J18" i="12"/>
  <c r="C19" i="12"/>
  <c r="F19" i="12"/>
  <c r="G19" i="12"/>
  <c r="H19" i="12"/>
  <c r="C20" i="12"/>
  <c r="C42" i="12"/>
  <c r="F20" i="12"/>
  <c r="G20" i="12"/>
  <c r="H20" i="12"/>
  <c r="S42" i="12"/>
  <c r="C21" i="12"/>
  <c r="D21" i="12"/>
  <c r="F21" i="12"/>
  <c r="G21" i="12"/>
  <c r="H21" i="12"/>
  <c r="I21" i="12"/>
  <c r="D22" i="12"/>
  <c r="F22" i="12"/>
  <c r="C26" i="12"/>
  <c r="D26" i="12"/>
  <c r="G26" i="12"/>
  <c r="H26" i="12"/>
  <c r="L26" i="12"/>
  <c r="N26" i="12"/>
  <c r="O26" i="12"/>
  <c r="P26" i="12"/>
  <c r="Q26" i="12"/>
  <c r="R26" i="12"/>
  <c r="S26" i="12"/>
  <c r="T26" i="12"/>
  <c r="C27" i="12"/>
  <c r="D27" i="12"/>
  <c r="G27" i="12"/>
  <c r="H27" i="12"/>
  <c r="L27" i="12"/>
  <c r="N27" i="12"/>
  <c r="O27" i="12"/>
  <c r="P27" i="12"/>
  <c r="Q27" i="12"/>
  <c r="R27" i="12"/>
  <c r="S27" i="12"/>
  <c r="T27" i="12"/>
  <c r="C28" i="12"/>
  <c r="D28" i="12"/>
  <c r="D29" i="12"/>
  <c r="D30" i="12"/>
  <c r="D31" i="12"/>
  <c r="D32" i="12"/>
  <c r="D43" i="12"/>
  <c r="D41" i="12"/>
  <c r="D42" i="12"/>
  <c r="D33" i="12"/>
  <c r="D34" i="12"/>
  <c r="D35" i="12"/>
  <c r="D36" i="12"/>
  <c r="D37" i="12"/>
  <c r="D38" i="12"/>
  <c r="D39" i="12"/>
  <c r="D40" i="12"/>
  <c r="D44" i="12"/>
  <c r="D45" i="12"/>
  <c r="G28" i="12"/>
  <c r="H28" i="12"/>
  <c r="L28" i="12"/>
  <c r="L29" i="12"/>
  <c r="L30" i="12"/>
  <c r="L31" i="12"/>
  <c r="L32" i="12"/>
  <c r="L43" i="12"/>
  <c r="N28" i="12"/>
  <c r="O28" i="12"/>
  <c r="P28" i="12"/>
  <c r="Q28" i="12"/>
  <c r="R28" i="12"/>
  <c r="S28" i="12"/>
  <c r="T28" i="12"/>
  <c r="C29" i="12"/>
  <c r="G29" i="12"/>
  <c r="H29" i="12"/>
  <c r="N29" i="12"/>
  <c r="O29" i="12"/>
  <c r="P29" i="12"/>
  <c r="Q29" i="12"/>
  <c r="S29" i="12"/>
  <c r="T29" i="12"/>
  <c r="C30" i="12"/>
  <c r="G30" i="12"/>
  <c r="H30" i="12"/>
  <c r="N30" i="12"/>
  <c r="O30" i="12"/>
  <c r="P30" i="12"/>
  <c r="Q30" i="12"/>
  <c r="R30" i="12"/>
  <c r="S30" i="12"/>
  <c r="T30" i="12"/>
  <c r="C31" i="12"/>
  <c r="N31" i="12"/>
  <c r="O31" i="12"/>
  <c r="P31" i="12"/>
  <c r="Q31" i="12"/>
  <c r="T31" i="12"/>
  <c r="C32" i="12"/>
  <c r="N32" i="12"/>
  <c r="O32" i="12"/>
  <c r="P32" i="12"/>
  <c r="Q32" i="12"/>
  <c r="C33" i="12"/>
  <c r="I33" i="12"/>
  <c r="N33" i="12"/>
  <c r="Q33" i="12"/>
  <c r="R33" i="12"/>
  <c r="S33" i="12"/>
  <c r="C34" i="12"/>
  <c r="I34" i="12"/>
  <c r="J34" i="12"/>
  <c r="O34" i="12"/>
  <c r="L34" i="12"/>
  <c r="N34" i="12"/>
  <c r="P34" i="12"/>
  <c r="Q34" i="12"/>
  <c r="R34" i="12"/>
  <c r="C35" i="12"/>
  <c r="I35" i="12"/>
  <c r="N35" i="12"/>
  <c r="Q35" i="12"/>
  <c r="S35" i="12"/>
  <c r="C36" i="12"/>
  <c r="I36" i="12"/>
  <c r="J36" i="12"/>
  <c r="O36" i="12"/>
  <c r="L36" i="12"/>
  <c r="N36" i="12"/>
  <c r="P36" i="12"/>
  <c r="Q36" i="12"/>
  <c r="R36" i="12"/>
  <c r="S36" i="12"/>
  <c r="C37" i="12"/>
  <c r="I37" i="12"/>
  <c r="N37" i="12"/>
  <c r="Q37" i="12"/>
  <c r="R37" i="12"/>
  <c r="S37" i="12"/>
  <c r="C38" i="12"/>
  <c r="I38" i="12"/>
  <c r="J38" i="12"/>
  <c r="O38" i="12"/>
  <c r="L38" i="12"/>
  <c r="N38" i="12"/>
  <c r="Q38" i="12"/>
  <c r="R38" i="12"/>
  <c r="C39" i="12"/>
  <c r="I39" i="12"/>
  <c r="N39" i="12"/>
  <c r="Q39" i="12"/>
  <c r="S39" i="12"/>
  <c r="I40" i="12"/>
  <c r="J40" i="12"/>
  <c r="O40" i="12"/>
  <c r="L40" i="12"/>
  <c r="N40" i="12"/>
  <c r="Q40" i="12"/>
  <c r="R40" i="12"/>
  <c r="S40" i="12"/>
  <c r="C41" i="12"/>
  <c r="I41" i="12"/>
  <c r="N41" i="12"/>
  <c r="Q41" i="12"/>
  <c r="S41" i="12"/>
  <c r="I42" i="12"/>
  <c r="J42" i="12"/>
  <c r="O42" i="12"/>
  <c r="L42" i="12"/>
  <c r="N42" i="12"/>
  <c r="P42" i="12"/>
  <c r="Q42" i="12"/>
  <c r="R42" i="12"/>
  <c r="F43" i="12"/>
  <c r="J43" i="12"/>
  <c r="K43" i="12"/>
  <c r="K45" i="12"/>
  <c r="K44" i="12"/>
  <c r="N44" i="12"/>
  <c r="E45" i="12"/>
  <c r="X66" i="12"/>
  <c r="Y66" i="12"/>
  <c r="X67" i="12"/>
  <c r="Y67" i="12"/>
  <c r="X68" i="12"/>
  <c r="Y68" i="12"/>
  <c r="X69" i="12"/>
  <c r="Y69" i="12"/>
  <c r="X70" i="12"/>
  <c r="Y70" i="12"/>
  <c r="X71" i="12"/>
  <c r="Y71" i="12"/>
  <c r="X72" i="12"/>
  <c r="Y72" i="12"/>
  <c r="X73" i="12"/>
  <c r="Y73" i="12"/>
  <c r="X74" i="12"/>
  <c r="Y74" i="12"/>
  <c r="W75" i="12"/>
  <c r="X75" i="12"/>
  <c r="W76" i="12"/>
  <c r="W77" i="12"/>
  <c r="X77" i="12"/>
  <c r="W78" i="12"/>
  <c r="X78" i="12"/>
  <c r="W79" i="12"/>
  <c r="X79" i="12"/>
  <c r="W80" i="12"/>
  <c r="X80" i="12"/>
  <c r="W81" i="12"/>
  <c r="X81" i="12"/>
  <c r="W82" i="12"/>
  <c r="X82" i="12"/>
  <c r="D83" i="12"/>
  <c r="F83" i="12"/>
  <c r="G83" i="12"/>
  <c r="H83" i="12"/>
  <c r="I83" i="12"/>
  <c r="J83" i="12"/>
  <c r="K83" i="12"/>
  <c r="L83" i="12"/>
  <c r="M83" i="12"/>
  <c r="N83" i="12"/>
  <c r="O83" i="12"/>
  <c r="P83" i="12"/>
  <c r="Q83" i="12"/>
  <c r="R83" i="12"/>
  <c r="S83" i="12"/>
  <c r="T83" i="12"/>
  <c r="U83" i="12"/>
  <c r="V83" i="12"/>
  <c r="W83" i="12"/>
  <c r="U85" i="12"/>
  <c r="V85" i="12"/>
  <c r="W85" i="12"/>
  <c r="Y85" i="12"/>
  <c r="U86" i="12"/>
  <c r="V86" i="12"/>
  <c r="W86" i="12"/>
  <c r="Y86" i="12"/>
  <c r="U87" i="12"/>
  <c r="V87" i="12"/>
  <c r="W87" i="12"/>
  <c r="Y87" i="12"/>
  <c r="U88" i="12"/>
  <c r="V88" i="12"/>
  <c r="W88" i="12"/>
  <c r="Y88" i="12"/>
  <c r="U89" i="12"/>
  <c r="V89" i="12"/>
  <c r="W89" i="12"/>
  <c r="Y89" i="12"/>
  <c r="U90" i="12"/>
  <c r="V90" i="12"/>
  <c r="W90" i="12"/>
  <c r="Y90" i="12"/>
  <c r="U91" i="12"/>
  <c r="V91" i="12"/>
  <c r="W91" i="12"/>
  <c r="Y91" i="12"/>
  <c r="U92" i="12"/>
  <c r="V92" i="12"/>
  <c r="W92" i="12"/>
  <c r="Y92" i="12"/>
  <c r="U93" i="12"/>
  <c r="V93" i="12"/>
  <c r="W93" i="12"/>
  <c r="Y93" i="12"/>
  <c r="H94" i="12"/>
  <c r="U94" i="12"/>
  <c r="V94" i="12"/>
  <c r="H95" i="12"/>
  <c r="U95" i="12"/>
  <c r="H96" i="12"/>
  <c r="U96" i="12"/>
  <c r="Y96" i="12"/>
  <c r="H97" i="12"/>
  <c r="U97" i="12"/>
  <c r="H98" i="12"/>
  <c r="U98" i="12"/>
  <c r="V98" i="12"/>
  <c r="H99" i="12"/>
  <c r="U99" i="12"/>
  <c r="H100" i="12"/>
  <c r="U100" i="12"/>
  <c r="H101" i="12"/>
  <c r="U101" i="12"/>
  <c r="D106" i="12"/>
  <c r="F106" i="12"/>
  <c r="G106" i="12"/>
  <c r="H106" i="12"/>
  <c r="I106" i="12"/>
  <c r="J106" i="12"/>
  <c r="K106" i="12"/>
  <c r="L106" i="12"/>
  <c r="M106" i="12"/>
  <c r="N106" i="12"/>
  <c r="O106" i="12"/>
  <c r="P106" i="12"/>
  <c r="Q106" i="12"/>
  <c r="R106" i="12"/>
  <c r="S106" i="12"/>
  <c r="T106" i="12"/>
  <c r="U106" i="12"/>
  <c r="V106" i="12"/>
  <c r="I130" i="12"/>
  <c r="Q130" i="12"/>
  <c r="K138" i="12"/>
  <c r="P138" i="12"/>
  <c r="U138" i="12"/>
  <c r="J139" i="12"/>
  <c r="O139" i="12"/>
  <c r="T139" i="12"/>
  <c r="C36" i="11"/>
  <c r="F45" i="12"/>
  <c r="N43" i="12"/>
  <c r="O43" i="12"/>
  <c r="I139" i="12"/>
  <c r="M139" i="12"/>
  <c r="Q139" i="12"/>
  <c r="U139" i="12"/>
  <c r="J138" i="12"/>
  <c r="N138" i="12"/>
  <c r="R138" i="12"/>
  <c r="V138" i="12"/>
  <c r="J12" i="12"/>
  <c r="T34" i="12"/>
  <c r="U30" i="12"/>
  <c r="V30" i="12"/>
  <c r="U29" i="12"/>
  <c r="V29" i="12"/>
  <c r="J130" i="12"/>
  <c r="N130" i="12"/>
  <c r="R130" i="12"/>
  <c r="V130" i="12"/>
  <c r="K130" i="12"/>
  <c r="P130" i="12"/>
  <c r="U130" i="12"/>
  <c r="U27" i="12"/>
  <c r="V27" i="12"/>
  <c r="J21" i="12"/>
  <c r="U26" i="12"/>
  <c r="V26" i="12"/>
  <c r="S139" i="12"/>
  <c r="N139" i="12"/>
  <c r="H139" i="12"/>
  <c r="T138" i="12"/>
  <c r="O138" i="12"/>
  <c r="I138" i="12"/>
  <c r="O130" i="12"/>
  <c r="H130" i="12"/>
  <c r="U28" i="12"/>
  <c r="I20" i="12"/>
  <c r="G22" i="12"/>
  <c r="I13" i="12"/>
  <c r="J13" i="12"/>
  <c r="V35" i="12"/>
  <c r="R35" i="12"/>
  <c r="U31" i="12"/>
  <c r="V31" i="12"/>
  <c r="R139" i="12"/>
  <c r="L139" i="12"/>
  <c r="G139" i="12"/>
  <c r="S138" i="12"/>
  <c r="M138" i="12"/>
  <c r="H138" i="12"/>
  <c r="T130" i="12"/>
  <c r="M130" i="12"/>
  <c r="G130" i="12"/>
  <c r="V99" i="12"/>
  <c r="W99" i="12"/>
  <c r="Y99" i="12"/>
  <c r="V95" i="12"/>
  <c r="W95" i="12"/>
  <c r="Y95" i="12"/>
  <c r="V139" i="12"/>
  <c r="P139" i="12"/>
  <c r="K139" i="12"/>
  <c r="Q138" i="12"/>
  <c r="L138" i="12"/>
  <c r="G138" i="12"/>
  <c r="S130" i="12"/>
  <c r="L130" i="12"/>
  <c r="J41" i="12"/>
  <c r="T41" i="12"/>
  <c r="U36" i="12"/>
  <c r="J37" i="12"/>
  <c r="T37" i="12"/>
  <c r="C44" i="12"/>
  <c r="X76" i="12"/>
  <c r="W106" i="12"/>
  <c r="X83" i="12"/>
  <c r="X106" i="12"/>
  <c r="J39" i="12"/>
  <c r="Y97" i="12"/>
  <c r="V97" i="12"/>
  <c r="I19" i="12"/>
  <c r="J19" i="12"/>
  <c r="V41" i="12"/>
  <c r="R41" i="12"/>
  <c r="V40" i="12"/>
  <c r="U40" i="12"/>
  <c r="I16" i="12"/>
  <c r="J11" i="12"/>
  <c r="I22" i="12"/>
  <c r="V32" i="12"/>
  <c r="U32" i="12"/>
  <c r="V101" i="12"/>
  <c r="Y101" i="12"/>
  <c r="J33" i="12"/>
  <c r="T33" i="12"/>
  <c r="R29" i="12"/>
  <c r="C43" i="12"/>
  <c r="G31" i="12"/>
  <c r="R31" i="12"/>
  <c r="H31" i="12"/>
  <c r="S31" i="12"/>
  <c r="V100" i="12"/>
  <c r="Y100" i="12"/>
  <c r="Y98" i="12"/>
  <c r="V96" i="12"/>
  <c r="W96" i="12"/>
  <c r="W94" i="12"/>
  <c r="Y94" i="12"/>
  <c r="P40" i="12"/>
  <c r="P38" i="12"/>
  <c r="J35" i="12"/>
  <c r="T35" i="12"/>
  <c r="I17" i="12"/>
  <c r="J17" i="12"/>
  <c r="V39" i="12"/>
  <c r="R39" i="12"/>
  <c r="C22" i="12"/>
  <c r="H22" i="12"/>
  <c r="S34" i="12"/>
  <c r="G32" i="12"/>
  <c r="R32" i="12"/>
  <c r="H32" i="12"/>
  <c r="S32" i="12"/>
  <c r="T32" i="12"/>
  <c r="C27" i="10"/>
  <c r="C24" i="10"/>
  <c r="C5" i="10"/>
  <c r="C6" i="10"/>
  <c r="C21" i="10"/>
  <c r="J20" i="12"/>
  <c r="T42" i="12"/>
  <c r="V34" i="12"/>
  <c r="U34" i="12"/>
  <c r="L35" i="12"/>
  <c r="U35" i="12"/>
  <c r="O35" i="12"/>
  <c r="W98" i="12"/>
  <c r="V33" i="12"/>
  <c r="L41" i="12"/>
  <c r="U41" i="12"/>
  <c r="O41" i="12"/>
  <c r="P41" i="12"/>
  <c r="X138" i="12"/>
  <c r="H132" i="12"/>
  <c r="L132" i="12"/>
  <c r="P132" i="12"/>
  <c r="T132" i="12"/>
  <c r="I132" i="12"/>
  <c r="N132" i="12"/>
  <c r="S132" i="12"/>
  <c r="M132" i="12"/>
  <c r="U132" i="12"/>
  <c r="G132" i="12"/>
  <c r="J132" i="12"/>
  <c r="K132" i="12"/>
  <c r="O132" i="12"/>
  <c r="Q132" i="12"/>
  <c r="R132" i="12"/>
  <c r="V132" i="12"/>
  <c r="X132" i="12"/>
  <c r="X139" i="12"/>
  <c r="H108" i="12"/>
  <c r="L108" i="12"/>
  <c r="I108" i="12"/>
  <c r="M108" i="12"/>
  <c r="Q108" i="12"/>
  <c r="U108" i="12"/>
  <c r="J108" i="12"/>
  <c r="N108" i="12"/>
  <c r="R108" i="12"/>
  <c r="V108" i="12"/>
  <c r="G108" i="12"/>
  <c r="S108" i="12"/>
  <c r="O108" i="12"/>
  <c r="P108" i="12"/>
  <c r="K108" i="12"/>
  <c r="T108" i="12"/>
  <c r="J111" i="12"/>
  <c r="N111" i="12"/>
  <c r="R111" i="12"/>
  <c r="V111" i="12"/>
  <c r="G111" i="12"/>
  <c r="K111" i="12"/>
  <c r="O111" i="12"/>
  <c r="S111" i="12"/>
  <c r="H111" i="12"/>
  <c r="H131" i="12"/>
  <c r="H151" i="12"/>
  <c r="P111" i="12"/>
  <c r="Q111" i="12"/>
  <c r="I111" i="12"/>
  <c r="T111" i="12"/>
  <c r="T131" i="12"/>
  <c r="T151" i="12"/>
  <c r="L111" i="12"/>
  <c r="M111" i="12"/>
  <c r="U111" i="12"/>
  <c r="G141" i="12"/>
  <c r="K141" i="12"/>
  <c r="O141" i="12"/>
  <c r="S141" i="12"/>
  <c r="I141" i="12"/>
  <c r="N141" i="12"/>
  <c r="T141" i="12"/>
  <c r="M141" i="12"/>
  <c r="J141" i="12"/>
  <c r="P141" i="12"/>
  <c r="U141" i="12"/>
  <c r="L141" i="12"/>
  <c r="Q141" i="12"/>
  <c r="V141" i="12"/>
  <c r="H141" i="12"/>
  <c r="R141" i="12"/>
  <c r="C45" i="12"/>
  <c r="G114" i="12"/>
  <c r="H114" i="12"/>
  <c r="L114" i="12"/>
  <c r="K114" i="12"/>
  <c r="K134" i="12"/>
  <c r="K154" i="12"/>
  <c r="P114" i="12"/>
  <c r="T114" i="12"/>
  <c r="I114" i="12"/>
  <c r="O114" i="12"/>
  <c r="U114" i="12"/>
  <c r="J114" i="12"/>
  <c r="Q114" i="12"/>
  <c r="V114" i="12"/>
  <c r="V134" i="12"/>
  <c r="V154" i="12"/>
  <c r="N114" i="12"/>
  <c r="M114" i="12"/>
  <c r="R114" i="12"/>
  <c r="S114" i="12"/>
  <c r="S134" i="12"/>
  <c r="S154" i="12"/>
  <c r="J16" i="12"/>
  <c r="J22" i="12"/>
  <c r="T38" i="12"/>
  <c r="W97" i="12"/>
  <c r="I143" i="12"/>
  <c r="M143" i="12"/>
  <c r="Q143" i="12"/>
  <c r="U143" i="12"/>
  <c r="G143" i="12"/>
  <c r="L143" i="12"/>
  <c r="R143" i="12"/>
  <c r="K143" i="12"/>
  <c r="H143" i="12"/>
  <c r="N143" i="12"/>
  <c r="S143" i="12"/>
  <c r="J143" i="12"/>
  <c r="O143" i="12"/>
  <c r="T143" i="12"/>
  <c r="V143" i="12"/>
  <c r="P143" i="12"/>
  <c r="T39" i="12"/>
  <c r="L37" i="12"/>
  <c r="U37" i="12"/>
  <c r="O37" i="12"/>
  <c r="P37" i="12"/>
  <c r="X130" i="12"/>
  <c r="G137" i="12"/>
  <c r="K137" i="12"/>
  <c r="O137" i="12"/>
  <c r="S137" i="12"/>
  <c r="H137" i="12"/>
  <c r="M137" i="12"/>
  <c r="R137" i="12"/>
  <c r="L137" i="12"/>
  <c r="V137" i="12"/>
  <c r="I137" i="12"/>
  <c r="N137" i="12"/>
  <c r="T137" i="12"/>
  <c r="J137" i="12"/>
  <c r="P137" i="12"/>
  <c r="U137" i="12"/>
  <c r="Q137" i="12"/>
  <c r="G110" i="12"/>
  <c r="K110" i="12"/>
  <c r="K150" i="12"/>
  <c r="O110" i="12"/>
  <c r="O150" i="12"/>
  <c r="S110" i="12"/>
  <c r="S150" i="12"/>
  <c r="H110" i="12"/>
  <c r="H150" i="12"/>
  <c r="L110" i="12"/>
  <c r="L150" i="12"/>
  <c r="P110" i="12"/>
  <c r="P150" i="12"/>
  <c r="T110" i="12"/>
  <c r="T150" i="12"/>
  <c r="I110" i="12"/>
  <c r="I150" i="12"/>
  <c r="Q110" i="12"/>
  <c r="Q150" i="12"/>
  <c r="M110" i="12"/>
  <c r="M150" i="12"/>
  <c r="V110" i="12"/>
  <c r="V150" i="12"/>
  <c r="N110" i="12"/>
  <c r="N150" i="12"/>
  <c r="U110" i="12"/>
  <c r="U150" i="12"/>
  <c r="J110" i="12"/>
  <c r="J150" i="12"/>
  <c r="R110" i="12"/>
  <c r="R150" i="12"/>
  <c r="G129" i="12"/>
  <c r="K129" i="12"/>
  <c r="O129" i="12"/>
  <c r="S129" i="12"/>
  <c r="L129" i="12"/>
  <c r="Q129" i="12"/>
  <c r="V129" i="12"/>
  <c r="H129" i="12"/>
  <c r="N129" i="12"/>
  <c r="U129" i="12"/>
  <c r="M129" i="12"/>
  <c r="I129" i="12"/>
  <c r="P129" i="12"/>
  <c r="J129" i="12"/>
  <c r="R129" i="12"/>
  <c r="T129" i="12"/>
  <c r="I112" i="12"/>
  <c r="I152" i="12"/>
  <c r="M112" i="12"/>
  <c r="M152" i="12"/>
  <c r="Q112" i="12"/>
  <c r="U112" i="12"/>
  <c r="U152" i="12"/>
  <c r="J112" i="12"/>
  <c r="J152" i="12"/>
  <c r="N112" i="12"/>
  <c r="R112" i="12"/>
  <c r="R152" i="12"/>
  <c r="V112" i="12"/>
  <c r="V152" i="12"/>
  <c r="G112" i="12"/>
  <c r="O112" i="12"/>
  <c r="O152" i="12"/>
  <c r="K112" i="12"/>
  <c r="K152" i="12"/>
  <c r="T112" i="12"/>
  <c r="T152" i="12"/>
  <c r="L112" i="12"/>
  <c r="H112" i="12"/>
  <c r="H152" i="12"/>
  <c r="S112" i="12"/>
  <c r="S152" i="12"/>
  <c r="P112" i="12"/>
  <c r="P152" i="12"/>
  <c r="P43" i="12"/>
  <c r="J142" i="12"/>
  <c r="N142" i="12"/>
  <c r="R142" i="12"/>
  <c r="V142" i="12"/>
  <c r="H142" i="12"/>
  <c r="M142" i="12"/>
  <c r="S142" i="12"/>
  <c r="L142" i="12"/>
  <c r="I142" i="12"/>
  <c r="O142" i="12"/>
  <c r="T142" i="12"/>
  <c r="K142" i="12"/>
  <c r="P142" i="12"/>
  <c r="U142" i="12"/>
  <c r="G142" i="12"/>
  <c r="X142" i="12"/>
  <c r="Q142" i="12"/>
  <c r="H113" i="12"/>
  <c r="L113" i="12"/>
  <c r="P113" i="12"/>
  <c r="P133" i="12"/>
  <c r="P153" i="12"/>
  <c r="T113" i="12"/>
  <c r="I113" i="12"/>
  <c r="M113" i="12"/>
  <c r="Q113" i="12"/>
  <c r="U113" i="12"/>
  <c r="N113" i="12"/>
  <c r="V113" i="12"/>
  <c r="O113" i="12"/>
  <c r="O133" i="12"/>
  <c r="O153" i="12"/>
  <c r="G113" i="12"/>
  <c r="R113" i="12"/>
  <c r="K113" i="12"/>
  <c r="J113" i="12"/>
  <c r="J133" i="12"/>
  <c r="J153" i="12"/>
  <c r="S113" i="12"/>
  <c r="H43" i="12"/>
  <c r="H45" i="12"/>
  <c r="I45" i="12"/>
  <c r="L33" i="12"/>
  <c r="L44" i="12"/>
  <c r="L45" i="12"/>
  <c r="U33" i="12"/>
  <c r="J44" i="12"/>
  <c r="J45" i="12"/>
  <c r="O33" i="12"/>
  <c r="P33" i="12"/>
  <c r="J134" i="12"/>
  <c r="N134" i="12"/>
  <c r="R134" i="12"/>
  <c r="G134" i="12"/>
  <c r="L134" i="12"/>
  <c r="Q134" i="12"/>
  <c r="H134" i="12"/>
  <c r="O134" i="12"/>
  <c r="U134" i="12"/>
  <c r="M134" i="12"/>
  <c r="I134" i="12"/>
  <c r="P134" i="12"/>
  <c r="T134" i="12"/>
  <c r="H122" i="12"/>
  <c r="H162" i="12"/>
  <c r="L122" i="12"/>
  <c r="L162" i="12"/>
  <c r="P122" i="12"/>
  <c r="P162" i="12"/>
  <c r="T122" i="12"/>
  <c r="I122" i="12"/>
  <c r="I162" i="12"/>
  <c r="N122" i="12"/>
  <c r="N162" i="12"/>
  <c r="S122" i="12"/>
  <c r="G122" i="12"/>
  <c r="O122" i="12"/>
  <c r="O162" i="12"/>
  <c r="V122" i="12"/>
  <c r="V162" i="12"/>
  <c r="K122" i="12"/>
  <c r="K162" i="12"/>
  <c r="U122" i="12"/>
  <c r="U162" i="12"/>
  <c r="R122" i="12"/>
  <c r="R162" i="12"/>
  <c r="M122" i="12"/>
  <c r="M162" i="12"/>
  <c r="Q122" i="12"/>
  <c r="Q162" i="12"/>
  <c r="J122" i="12"/>
  <c r="J162" i="12"/>
  <c r="G43" i="12"/>
  <c r="G45" i="12"/>
  <c r="L39" i="12"/>
  <c r="U39" i="12"/>
  <c r="O39" i="12"/>
  <c r="P39" i="12"/>
  <c r="H118" i="12"/>
  <c r="H158" i="12"/>
  <c r="L118" i="12"/>
  <c r="L158" i="12"/>
  <c r="P118" i="12"/>
  <c r="P158" i="12"/>
  <c r="T118" i="12"/>
  <c r="T158" i="12"/>
  <c r="K118" i="12"/>
  <c r="K158" i="12"/>
  <c r="Q118" i="12"/>
  <c r="Q158" i="12"/>
  <c r="V118" i="12"/>
  <c r="V158" i="12"/>
  <c r="G118" i="12"/>
  <c r="M118" i="12"/>
  <c r="M158" i="12"/>
  <c r="R118" i="12"/>
  <c r="R158" i="12"/>
  <c r="J118" i="12"/>
  <c r="J158" i="12"/>
  <c r="U118" i="12"/>
  <c r="U158" i="12"/>
  <c r="O118" i="12"/>
  <c r="O158" i="12"/>
  <c r="S118" i="12"/>
  <c r="S158" i="12"/>
  <c r="I118" i="12"/>
  <c r="I158" i="12"/>
  <c r="N118" i="12"/>
  <c r="N158" i="12"/>
  <c r="G133" i="12"/>
  <c r="K133" i="12"/>
  <c r="S133" i="12"/>
  <c r="H133" i="12"/>
  <c r="M133" i="12"/>
  <c r="R133" i="12"/>
  <c r="Q133" i="12"/>
  <c r="I133" i="12"/>
  <c r="L133" i="12"/>
  <c r="T133" i="12"/>
  <c r="N133" i="12"/>
  <c r="U133" i="12"/>
  <c r="V133" i="12"/>
  <c r="I128" i="12"/>
  <c r="G128" i="12"/>
  <c r="L128" i="12"/>
  <c r="P128" i="12"/>
  <c r="T128" i="12"/>
  <c r="M128" i="12"/>
  <c r="R128" i="12"/>
  <c r="J128" i="12"/>
  <c r="Q128" i="12"/>
  <c r="K128" i="12"/>
  <c r="S128" i="12"/>
  <c r="N128" i="12"/>
  <c r="U128" i="12"/>
  <c r="H128" i="12"/>
  <c r="V128" i="12"/>
  <c r="O128" i="12"/>
  <c r="H109" i="12"/>
  <c r="H149" i="12"/>
  <c r="L109" i="12"/>
  <c r="L149" i="12"/>
  <c r="P109" i="12"/>
  <c r="P149" i="12"/>
  <c r="T109" i="12"/>
  <c r="I109" i="12"/>
  <c r="I149" i="12"/>
  <c r="M109" i="12"/>
  <c r="M149" i="12"/>
  <c r="Q109" i="12"/>
  <c r="Q149" i="12"/>
  <c r="U109" i="12"/>
  <c r="U149" i="12"/>
  <c r="J109" i="12"/>
  <c r="J149" i="12"/>
  <c r="R109" i="12"/>
  <c r="R149" i="12"/>
  <c r="G109" i="12"/>
  <c r="S109" i="12"/>
  <c r="K109" i="12"/>
  <c r="K149" i="12"/>
  <c r="V109" i="12"/>
  <c r="V149" i="12"/>
  <c r="O109" i="12"/>
  <c r="O149" i="12"/>
  <c r="N109" i="12"/>
  <c r="N149" i="12"/>
  <c r="I131" i="12"/>
  <c r="M131" i="12"/>
  <c r="Q131" i="12"/>
  <c r="U131" i="12"/>
  <c r="J131" i="12"/>
  <c r="O131" i="12"/>
  <c r="P131" i="12"/>
  <c r="G131" i="12"/>
  <c r="V131" i="12"/>
  <c r="K131" i="12"/>
  <c r="R131" i="12"/>
  <c r="L131" i="12"/>
  <c r="S131" i="12"/>
  <c r="N131" i="12"/>
  <c r="C36" i="10"/>
  <c r="C37" i="10"/>
  <c r="C31" i="10"/>
  <c r="C17" i="10"/>
  <c r="C13" i="10"/>
  <c r="C9" i="10"/>
  <c r="N20" i="2"/>
  <c r="N19" i="2"/>
  <c r="O154" i="12"/>
  <c r="O148" i="12"/>
  <c r="G123" i="12"/>
  <c r="K123" i="12"/>
  <c r="K163" i="12"/>
  <c r="O123" i="12"/>
  <c r="O163" i="12"/>
  <c r="S123" i="12"/>
  <c r="S163" i="12"/>
  <c r="H123" i="12"/>
  <c r="H163" i="12"/>
  <c r="M123" i="12"/>
  <c r="M163" i="12"/>
  <c r="R123" i="12"/>
  <c r="R163" i="12"/>
  <c r="L123" i="12"/>
  <c r="L163" i="12"/>
  <c r="T123" i="12"/>
  <c r="T163" i="12"/>
  <c r="N123" i="12"/>
  <c r="N163" i="12"/>
  <c r="V123" i="12"/>
  <c r="V163" i="12"/>
  <c r="P123" i="12"/>
  <c r="P163" i="12"/>
  <c r="I123" i="12"/>
  <c r="I163" i="12"/>
  <c r="Q123" i="12"/>
  <c r="Q163" i="12"/>
  <c r="J123" i="12"/>
  <c r="J163" i="12"/>
  <c r="U123" i="12"/>
  <c r="U163" i="12"/>
  <c r="S149" i="12"/>
  <c r="T149" i="12"/>
  <c r="X118" i="12"/>
  <c r="G158" i="12"/>
  <c r="X158" i="12"/>
  <c r="X122" i="12"/>
  <c r="G162" i="12"/>
  <c r="T162" i="12"/>
  <c r="X134" i="12"/>
  <c r="K153" i="12"/>
  <c r="V153" i="12"/>
  <c r="M153" i="12"/>
  <c r="L153" i="12"/>
  <c r="Q152" i="12"/>
  <c r="R154" i="12"/>
  <c r="Q154" i="12"/>
  <c r="I154" i="12"/>
  <c r="L154" i="12"/>
  <c r="U151" i="12"/>
  <c r="I151" i="12"/>
  <c r="S151" i="12"/>
  <c r="V151" i="12"/>
  <c r="T148" i="12"/>
  <c r="S148" i="12"/>
  <c r="N148" i="12"/>
  <c r="M148" i="12"/>
  <c r="P35" i="12"/>
  <c r="P44" i="12"/>
  <c r="O44" i="12"/>
  <c r="H136" i="12"/>
  <c r="L136" i="12"/>
  <c r="P136" i="12"/>
  <c r="T136" i="12"/>
  <c r="I136" i="12"/>
  <c r="N136" i="12"/>
  <c r="S136" i="12"/>
  <c r="G136" i="12"/>
  <c r="J136" i="12"/>
  <c r="O136" i="12"/>
  <c r="U136" i="12"/>
  <c r="K136" i="12"/>
  <c r="Q136" i="12"/>
  <c r="V136" i="12"/>
  <c r="R136" i="12"/>
  <c r="M136" i="12"/>
  <c r="X133" i="12"/>
  <c r="X141" i="12"/>
  <c r="J151" i="12"/>
  <c r="R148" i="12"/>
  <c r="H148" i="12"/>
  <c r="X109" i="12"/>
  <c r="G149" i="12"/>
  <c r="X149" i="12"/>
  <c r="I121" i="12"/>
  <c r="I161" i="12"/>
  <c r="M121" i="12"/>
  <c r="M161" i="12"/>
  <c r="Q121" i="12"/>
  <c r="Q161" i="12"/>
  <c r="U121" i="12"/>
  <c r="U161" i="12"/>
  <c r="J121" i="12"/>
  <c r="J161" i="12"/>
  <c r="O121" i="12"/>
  <c r="O161" i="12"/>
  <c r="T121" i="12"/>
  <c r="T161" i="12"/>
  <c r="K121" i="12"/>
  <c r="K161" i="12"/>
  <c r="R121" i="12"/>
  <c r="R161" i="12"/>
  <c r="H121" i="12"/>
  <c r="H161" i="12"/>
  <c r="S121" i="12"/>
  <c r="S161" i="12"/>
  <c r="L121" i="12"/>
  <c r="L161" i="12"/>
  <c r="V121" i="12"/>
  <c r="V161" i="12"/>
  <c r="N121" i="12"/>
  <c r="N161" i="12"/>
  <c r="G121" i="12"/>
  <c r="P121" i="12"/>
  <c r="P161" i="12"/>
  <c r="S162" i="12"/>
  <c r="R153" i="12"/>
  <c r="N153" i="12"/>
  <c r="I153" i="12"/>
  <c r="H153" i="12"/>
  <c r="N152" i="12"/>
  <c r="G119" i="12"/>
  <c r="K119" i="12"/>
  <c r="K159" i="12"/>
  <c r="O119" i="12"/>
  <c r="O159" i="12"/>
  <c r="S119" i="12"/>
  <c r="S159" i="12"/>
  <c r="J119" i="12"/>
  <c r="J159" i="12"/>
  <c r="P119" i="12"/>
  <c r="P159" i="12"/>
  <c r="L119" i="12"/>
  <c r="L159" i="12"/>
  <c r="Q119" i="12"/>
  <c r="Q159" i="12"/>
  <c r="V119" i="12"/>
  <c r="V159" i="12"/>
  <c r="N119" i="12"/>
  <c r="N159" i="12"/>
  <c r="M119" i="12"/>
  <c r="M159" i="12"/>
  <c r="R119" i="12"/>
  <c r="R159" i="12"/>
  <c r="H119" i="12"/>
  <c r="H159" i="12"/>
  <c r="T119" i="12"/>
  <c r="T159" i="12"/>
  <c r="I119" i="12"/>
  <c r="I159" i="12"/>
  <c r="U119" i="12"/>
  <c r="U159" i="12"/>
  <c r="M154" i="12"/>
  <c r="J154" i="12"/>
  <c r="T154" i="12"/>
  <c r="H154" i="12"/>
  <c r="M151" i="12"/>
  <c r="Q151" i="12"/>
  <c r="O151" i="12"/>
  <c r="R151" i="12"/>
  <c r="K148" i="12"/>
  <c r="G148" i="12"/>
  <c r="X108" i="12"/>
  <c r="J148" i="12"/>
  <c r="I148" i="12"/>
  <c r="I117" i="12"/>
  <c r="I157" i="12"/>
  <c r="M117" i="12"/>
  <c r="M157" i="12"/>
  <c r="Q117" i="12"/>
  <c r="Q157" i="12"/>
  <c r="U117" i="12"/>
  <c r="U157" i="12"/>
  <c r="G117" i="12"/>
  <c r="L117" i="12"/>
  <c r="L157" i="12"/>
  <c r="R117" i="12"/>
  <c r="R157" i="12"/>
  <c r="H117" i="12"/>
  <c r="H157" i="12"/>
  <c r="N117" i="12"/>
  <c r="N157" i="12"/>
  <c r="S117" i="12"/>
  <c r="S157" i="12"/>
  <c r="P117" i="12"/>
  <c r="P157" i="12"/>
  <c r="T117" i="12"/>
  <c r="T157" i="12"/>
  <c r="J117" i="12"/>
  <c r="J157" i="12"/>
  <c r="V117" i="12"/>
  <c r="V157" i="12"/>
  <c r="K117" i="12"/>
  <c r="K157" i="12"/>
  <c r="O117" i="12"/>
  <c r="O157" i="12"/>
  <c r="Q153" i="12"/>
  <c r="X143" i="12"/>
  <c r="X111" i="12"/>
  <c r="G151" i="12"/>
  <c r="Q148" i="12"/>
  <c r="J116" i="12"/>
  <c r="N116" i="12"/>
  <c r="N156" i="12"/>
  <c r="R116" i="12"/>
  <c r="R156" i="12"/>
  <c r="V116" i="12"/>
  <c r="V156" i="12"/>
  <c r="H116" i="12"/>
  <c r="M116" i="12"/>
  <c r="M156" i="12"/>
  <c r="S116" i="12"/>
  <c r="S156" i="12"/>
  <c r="I116" i="12"/>
  <c r="I156" i="12"/>
  <c r="O116" i="12"/>
  <c r="O156" i="12"/>
  <c r="T116" i="12"/>
  <c r="T156" i="12"/>
  <c r="L116" i="12"/>
  <c r="L156" i="12"/>
  <c r="G116" i="12"/>
  <c r="U116" i="12"/>
  <c r="U156" i="12"/>
  <c r="K116" i="12"/>
  <c r="K156" i="12"/>
  <c r="P116" i="12"/>
  <c r="P156" i="12"/>
  <c r="Q116" i="12"/>
  <c r="Q156" i="12"/>
  <c r="X131" i="12"/>
  <c r="X128" i="12"/>
  <c r="G115" i="12"/>
  <c r="K115" i="12"/>
  <c r="O115" i="12"/>
  <c r="S115" i="12"/>
  <c r="I115" i="12"/>
  <c r="N115" i="12"/>
  <c r="T115" i="12"/>
  <c r="J115" i="12"/>
  <c r="P115" i="12"/>
  <c r="U115" i="12"/>
  <c r="H115" i="12"/>
  <c r="R115" i="12"/>
  <c r="L115" i="12"/>
  <c r="M115" i="12"/>
  <c r="Q115" i="12"/>
  <c r="V115" i="12"/>
  <c r="S153" i="12"/>
  <c r="G153" i="12"/>
  <c r="T153" i="12"/>
  <c r="U153" i="12"/>
  <c r="X153" i="12"/>
  <c r="X113" i="12"/>
  <c r="L152" i="12"/>
  <c r="X112" i="12"/>
  <c r="G152" i="12"/>
  <c r="X129" i="12"/>
  <c r="X110" i="12"/>
  <c r="G150" i="12"/>
  <c r="X150" i="12"/>
  <c r="X137" i="12"/>
  <c r="V38" i="12"/>
  <c r="U38" i="12"/>
  <c r="N154" i="12"/>
  <c r="U154" i="12"/>
  <c r="P154" i="12"/>
  <c r="G154" i="12"/>
  <c r="X154" i="12"/>
  <c r="X114" i="12"/>
  <c r="L151" i="12"/>
  <c r="P151" i="12"/>
  <c r="K151" i="12"/>
  <c r="N151" i="12"/>
  <c r="P148" i="12"/>
  <c r="V148" i="12"/>
  <c r="U148" i="12"/>
  <c r="L148" i="12"/>
  <c r="I135" i="12"/>
  <c r="M135" i="12"/>
  <c r="Q135" i="12"/>
  <c r="U135" i="12"/>
  <c r="J135" i="12"/>
  <c r="O135" i="12"/>
  <c r="T135" i="12"/>
  <c r="H135" i="12"/>
  <c r="K135" i="12"/>
  <c r="P135" i="12"/>
  <c r="V135" i="12"/>
  <c r="G135" i="12"/>
  <c r="L135" i="12"/>
  <c r="R135" i="12"/>
  <c r="S135" i="12"/>
  <c r="N135" i="12"/>
  <c r="V42" i="12"/>
  <c r="U42" i="12"/>
  <c r="G64" i="2"/>
  <c r="T65" i="2"/>
  <c r="M155" i="12"/>
  <c r="K155" i="12"/>
  <c r="H140" i="12"/>
  <c r="H145" i="12"/>
  <c r="L140" i="12"/>
  <c r="P140" i="12"/>
  <c r="P146" i="12"/>
  <c r="T140" i="12"/>
  <c r="J140" i="12"/>
  <c r="J146" i="12"/>
  <c r="O140" i="12"/>
  <c r="O145" i="12"/>
  <c r="U140" i="12"/>
  <c r="N140" i="12"/>
  <c r="K140" i="12"/>
  <c r="K146" i="12"/>
  <c r="Q140" i="12"/>
  <c r="Q145" i="12"/>
  <c r="V140" i="12"/>
  <c r="V146" i="12"/>
  <c r="G140" i="12"/>
  <c r="M140" i="12"/>
  <c r="M145" i="12"/>
  <c r="R140" i="12"/>
  <c r="I140" i="12"/>
  <c r="S140" i="12"/>
  <c r="S145" i="12"/>
  <c r="L155" i="12"/>
  <c r="P155" i="12"/>
  <c r="I155" i="12"/>
  <c r="X115" i="12"/>
  <c r="G155" i="12"/>
  <c r="X148" i="12"/>
  <c r="X136" i="12"/>
  <c r="J120" i="12"/>
  <c r="J160" i="12"/>
  <c r="N120" i="12"/>
  <c r="N160" i="12"/>
  <c r="R120" i="12"/>
  <c r="V120" i="12"/>
  <c r="K120" i="12"/>
  <c r="K160" i="12"/>
  <c r="P120" i="12"/>
  <c r="P160" i="12"/>
  <c r="U120" i="12"/>
  <c r="U160" i="12"/>
  <c r="G120" i="12"/>
  <c r="M120" i="12"/>
  <c r="M160" i="12"/>
  <c r="T120" i="12"/>
  <c r="T160" i="12"/>
  <c r="H120" i="12"/>
  <c r="Q120" i="12"/>
  <c r="Q160" i="12"/>
  <c r="I120" i="12"/>
  <c r="I160" i="12"/>
  <c r="I165" i="12"/>
  <c r="S120" i="12"/>
  <c r="S160" i="12"/>
  <c r="L120" i="12"/>
  <c r="O120" i="12"/>
  <c r="O160" i="12"/>
  <c r="N126" i="12"/>
  <c r="N155" i="12"/>
  <c r="X116" i="12"/>
  <c r="G156" i="12"/>
  <c r="J124" i="12"/>
  <c r="N124" i="12"/>
  <c r="R124" i="12"/>
  <c r="R164" i="12"/>
  <c r="V124" i="12"/>
  <c r="G124" i="12"/>
  <c r="L124" i="12"/>
  <c r="Q124" i="12"/>
  <c r="Q164" i="12"/>
  <c r="Q165" i="12"/>
  <c r="I124" i="12"/>
  <c r="I164" i="12"/>
  <c r="P124" i="12"/>
  <c r="O124" i="12"/>
  <c r="H124" i="12"/>
  <c r="S124" i="12"/>
  <c r="K124" i="12"/>
  <c r="T124" i="12"/>
  <c r="M124" i="12"/>
  <c r="M164" i="12"/>
  <c r="U124" i="12"/>
  <c r="O146" i="12"/>
  <c r="H144" i="12"/>
  <c r="L144" i="12"/>
  <c r="P144" i="12"/>
  <c r="T144" i="12"/>
  <c r="T146" i="12"/>
  <c r="K144" i="12"/>
  <c r="Q144" i="12"/>
  <c r="V144" i="12"/>
  <c r="J144" i="12"/>
  <c r="G144" i="12"/>
  <c r="X144" i="12"/>
  <c r="M144" i="12"/>
  <c r="R144" i="12"/>
  <c r="I144" i="12"/>
  <c r="N144" i="12"/>
  <c r="N146" i="12"/>
  <c r="S144" i="12"/>
  <c r="U144" i="12"/>
  <c r="O144" i="12"/>
  <c r="L146" i="12"/>
  <c r="I146" i="12"/>
  <c r="P125" i="12"/>
  <c r="X152" i="12"/>
  <c r="V155" i="12"/>
  <c r="V126" i="12"/>
  <c r="R126" i="12"/>
  <c r="R155" i="12"/>
  <c r="J155" i="12"/>
  <c r="S126" i="12"/>
  <c r="S155" i="12"/>
  <c r="X151" i="12"/>
  <c r="I145" i="12"/>
  <c r="G125" i="12"/>
  <c r="V145" i="12"/>
  <c r="N125" i="12"/>
  <c r="X162" i="12"/>
  <c r="P145" i="12"/>
  <c r="S146" i="12"/>
  <c r="Q146" i="12"/>
  <c r="U155" i="12"/>
  <c r="U126" i="12"/>
  <c r="X119" i="12"/>
  <c r="G159" i="12"/>
  <c r="X159" i="12"/>
  <c r="X121" i="12"/>
  <c r="G161" i="12"/>
  <c r="X161" i="12"/>
  <c r="O125" i="12"/>
  <c r="R146" i="12"/>
  <c r="X135" i="12"/>
  <c r="U146" i="12"/>
  <c r="Q155" i="12"/>
  <c r="H155" i="12"/>
  <c r="T126" i="12"/>
  <c r="T155" i="12"/>
  <c r="O126" i="12"/>
  <c r="O155" i="12"/>
  <c r="H156" i="12"/>
  <c r="J156" i="12"/>
  <c r="U145" i="12"/>
  <c r="X117" i="12"/>
  <c r="G157" i="12"/>
  <c r="X157" i="12"/>
  <c r="J125" i="12"/>
  <c r="L145" i="12"/>
  <c r="M165" i="12"/>
  <c r="S125" i="12"/>
  <c r="X123" i="12"/>
  <c r="G163" i="12"/>
  <c r="X163" i="12"/>
  <c r="T145" i="12"/>
  <c r="G16" i="2"/>
  <c r="G17" i="2"/>
  <c r="G18" i="2"/>
  <c r="G19" i="2"/>
  <c r="G20" i="2"/>
  <c r="G21" i="2"/>
  <c r="E16" i="2"/>
  <c r="E17" i="2"/>
  <c r="E18" i="2"/>
  <c r="E19" i="2"/>
  <c r="E20" i="2"/>
  <c r="E21" i="2"/>
  <c r="N165" i="12"/>
  <c r="M126" i="12"/>
  <c r="K145" i="12"/>
  <c r="Q166" i="12"/>
  <c r="H146" i="12"/>
  <c r="M125" i="12"/>
  <c r="T164" i="12"/>
  <c r="T165" i="12"/>
  <c r="O164" i="12"/>
  <c r="L164" i="12"/>
  <c r="N164" i="12"/>
  <c r="X156" i="12"/>
  <c r="G160" i="12"/>
  <c r="X120" i="12"/>
  <c r="X125" i="12"/>
  <c r="V160" i="12"/>
  <c r="V125" i="12"/>
  <c r="G126" i="12"/>
  <c r="P126" i="12"/>
  <c r="X140" i="12"/>
  <c r="X145" i="12"/>
  <c r="N145" i="12"/>
  <c r="Q125" i="12"/>
  <c r="J145" i="12"/>
  <c r="Q126" i="12"/>
  <c r="G146" i="12"/>
  <c r="M146" i="12"/>
  <c r="K125" i="12"/>
  <c r="J126" i="12"/>
  <c r="K164" i="12"/>
  <c r="K166" i="12"/>
  <c r="P164" i="12"/>
  <c r="P165" i="12"/>
  <c r="X124" i="12"/>
  <c r="G164" i="12"/>
  <c r="J164" i="12"/>
  <c r="J166" i="12"/>
  <c r="L160" i="12"/>
  <c r="L165" i="12"/>
  <c r="L125" i="12"/>
  <c r="H160" i="12"/>
  <c r="H166" i="12"/>
  <c r="R160" i="12"/>
  <c r="R165" i="12"/>
  <c r="R125" i="12"/>
  <c r="I125" i="12"/>
  <c r="K126" i="12"/>
  <c r="T125" i="12"/>
  <c r="G145" i="12"/>
  <c r="H164" i="12"/>
  <c r="I126" i="12"/>
  <c r="O166" i="12"/>
  <c r="H126" i="12"/>
  <c r="S166" i="12"/>
  <c r="U164" i="12"/>
  <c r="U165" i="12"/>
  <c r="S164" i="12"/>
  <c r="V164" i="12"/>
  <c r="V166" i="12"/>
  <c r="N166" i="12"/>
  <c r="O165" i="12"/>
  <c r="H165" i="12"/>
  <c r="X155" i="12"/>
  <c r="G166" i="12"/>
  <c r="I166" i="12"/>
  <c r="L126" i="12"/>
  <c r="R145" i="12"/>
  <c r="S165" i="12"/>
  <c r="M166" i="12"/>
  <c r="H125" i="12"/>
  <c r="U125" i="12"/>
  <c r="Y125" i="12"/>
  <c r="K85" i="3"/>
  <c r="J85" i="3"/>
  <c r="I85" i="3"/>
  <c r="H85" i="3"/>
  <c r="G85" i="3"/>
  <c r="F85" i="3"/>
  <c r="E85" i="3"/>
  <c r="D85" i="3"/>
  <c r="X126" i="12"/>
  <c r="Y126" i="12"/>
  <c r="K165" i="12"/>
  <c r="P166" i="12"/>
  <c r="X164" i="12"/>
  <c r="X146" i="12"/>
  <c r="Y146" i="12"/>
  <c r="L166" i="12"/>
  <c r="X160" i="12"/>
  <c r="X165" i="12"/>
  <c r="J165" i="12"/>
  <c r="Y145" i="12"/>
  <c r="G165" i="12"/>
  <c r="R166" i="12"/>
  <c r="X166" i="12"/>
  <c r="U166" i="12"/>
  <c r="V165" i="12"/>
  <c r="T166" i="12"/>
  <c r="AC26" i="3"/>
  <c r="AC25" i="3"/>
  <c r="AC24" i="3"/>
  <c r="AC23" i="3"/>
  <c r="AC22" i="3"/>
  <c r="AC21" i="3"/>
  <c r="AC27" i="3"/>
  <c r="X168" i="12"/>
  <c r="Y166" i="12"/>
  <c r="Y165" i="12"/>
  <c r="G43" i="2"/>
  <c r="G11" i="2"/>
  <c r="G23" i="2"/>
  <c r="E43" i="2"/>
  <c r="E11" i="2"/>
  <c r="E23" i="2"/>
  <c r="D43" i="2"/>
  <c r="D11" i="2"/>
  <c r="D23" i="2"/>
  <c r="H20" i="9"/>
  <c r="G20" i="9"/>
  <c r="F20" i="9"/>
  <c r="H19" i="9"/>
  <c r="G19" i="9"/>
  <c r="F19" i="9"/>
  <c r="H18" i="9"/>
  <c r="G18" i="9"/>
  <c r="F18" i="9"/>
  <c r="H17" i="9"/>
  <c r="G17" i="9"/>
  <c r="F17" i="9"/>
  <c r="H16" i="9"/>
  <c r="G16" i="9"/>
  <c r="F16" i="9"/>
  <c r="H15" i="9"/>
  <c r="G15" i="9"/>
  <c r="F15" i="9"/>
  <c r="H14" i="9"/>
  <c r="G14" i="9"/>
  <c r="F14" i="9"/>
  <c r="H13" i="9"/>
  <c r="G13" i="9"/>
  <c r="F13" i="9"/>
  <c r="H12" i="9"/>
  <c r="G12" i="9"/>
  <c r="F12" i="9"/>
  <c r="H11" i="9"/>
  <c r="G11" i="9"/>
  <c r="F11" i="9"/>
  <c r="L99" i="3"/>
  <c r="K99" i="3"/>
  <c r="J99" i="3"/>
  <c r="I99" i="3"/>
  <c r="H99" i="3"/>
  <c r="F99" i="3"/>
  <c r="E99" i="3"/>
  <c r="D99" i="3"/>
  <c r="L98" i="3"/>
  <c r="K98" i="3"/>
  <c r="N98" i="3" s="1"/>
  <c r="J98" i="3"/>
  <c r="I98" i="3"/>
  <c r="H98" i="3"/>
  <c r="F98" i="3"/>
  <c r="E98" i="3"/>
  <c r="D98" i="3"/>
  <c r="N99" i="3"/>
  <c r="L97" i="3"/>
  <c r="K97" i="3"/>
  <c r="J97" i="3"/>
  <c r="I97" i="3"/>
  <c r="H97" i="3"/>
  <c r="F97" i="3"/>
  <c r="E97" i="3"/>
  <c r="D97" i="3"/>
  <c r="N97" i="3" s="1"/>
  <c r="N96" i="3"/>
  <c r="L95" i="3"/>
  <c r="J95" i="3"/>
  <c r="I95" i="3"/>
  <c r="H95" i="3"/>
  <c r="E95" i="3"/>
  <c r="N95" i="3" s="1"/>
  <c r="X56" i="2"/>
  <c r="X57" i="2"/>
  <c r="X58" i="2"/>
  <c r="X59" i="2"/>
  <c r="X60" i="2"/>
  <c r="X61" i="2"/>
  <c r="X62" i="2"/>
  <c r="X46" i="2"/>
  <c r="X47" i="2"/>
  <c r="X48" i="2"/>
  <c r="X49" i="2"/>
  <c r="X50" i="2"/>
  <c r="X51" i="2"/>
  <c r="X52" i="2"/>
  <c r="X53" i="2"/>
  <c r="X54" i="2"/>
  <c r="X55" i="2"/>
  <c r="V43" i="2"/>
  <c r="U43" i="2"/>
  <c r="T43" i="2"/>
  <c r="S43" i="2"/>
  <c r="R43" i="2"/>
  <c r="Q43" i="2"/>
  <c r="P43" i="2"/>
  <c r="O43" i="2"/>
  <c r="N43" i="2"/>
  <c r="M43" i="2"/>
  <c r="L43" i="2"/>
  <c r="K43" i="2"/>
  <c r="J43" i="2"/>
  <c r="I43" i="2"/>
  <c r="H43" i="2"/>
  <c r="H11" i="2"/>
  <c r="T62" i="2"/>
  <c r="S62" i="2"/>
  <c r="R62" i="2"/>
  <c r="Q62" i="2"/>
  <c r="P62" i="2"/>
  <c r="O62" i="2"/>
  <c r="N62" i="2"/>
  <c r="M62" i="2"/>
  <c r="L62" i="2"/>
  <c r="K62" i="2"/>
  <c r="J62" i="2"/>
  <c r="D42" i="2"/>
  <c r="D10" i="2"/>
  <c r="D22" i="2"/>
  <c r="V42" i="2"/>
  <c r="U42" i="2"/>
  <c r="T42" i="2"/>
  <c r="S42" i="2"/>
  <c r="R42" i="2"/>
  <c r="Q42" i="2"/>
  <c r="P42" i="2"/>
  <c r="O42" i="2"/>
  <c r="N42" i="2"/>
  <c r="M42" i="2"/>
  <c r="L42" i="2"/>
  <c r="K42" i="2"/>
  <c r="J42" i="2"/>
  <c r="I42" i="2"/>
  <c r="H42" i="2"/>
  <c r="H10" i="2"/>
  <c r="G42" i="2"/>
  <c r="G10" i="2"/>
  <c r="G22" i="2"/>
  <c r="E42" i="2"/>
  <c r="E10" i="2"/>
  <c r="E22" i="2"/>
  <c r="T54" i="2"/>
  <c r="S54" i="2"/>
  <c r="R54" i="2"/>
  <c r="Q54" i="2"/>
  <c r="P54" i="2"/>
  <c r="O54" i="2"/>
  <c r="N54" i="2"/>
  <c r="M54" i="2"/>
  <c r="L54" i="2"/>
  <c r="K54" i="2"/>
  <c r="J54" i="2"/>
  <c r="I54" i="2"/>
  <c r="H54" i="2"/>
  <c r="T53" i="2"/>
  <c r="S53" i="2"/>
  <c r="R53" i="2"/>
  <c r="Q53" i="2"/>
  <c r="P53" i="2"/>
  <c r="O53" i="2"/>
  <c r="N53" i="2"/>
  <c r="M53" i="2"/>
  <c r="L53" i="2"/>
  <c r="K53" i="2"/>
  <c r="J53" i="2"/>
  <c r="I53" i="2"/>
  <c r="H53" i="2"/>
  <c r="T52" i="2"/>
  <c r="S52" i="2"/>
  <c r="R52" i="2"/>
  <c r="Q52" i="2"/>
  <c r="P52" i="2"/>
  <c r="O52" i="2"/>
  <c r="N52" i="2"/>
  <c r="M52" i="2"/>
  <c r="L52" i="2"/>
  <c r="K52" i="2"/>
  <c r="J52" i="2"/>
  <c r="I52" i="2"/>
  <c r="H52" i="2"/>
  <c r="T51" i="2"/>
  <c r="S51" i="2"/>
  <c r="R51" i="2"/>
  <c r="Q51" i="2"/>
  <c r="P51" i="2"/>
  <c r="O51" i="2"/>
  <c r="N51" i="2"/>
  <c r="M51" i="2"/>
  <c r="L51" i="2"/>
  <c r="K51" i="2"/>
  <c r="J51" i="2"/>
  <c r="I51" i="2"/>
  <c r="H51" i="2"/>
  <c r="T50" i="2"/>
  <c r="S50" i="2"/>
  <c r="R50" i="2"/>
  <c r="Q50" i="2"/>
  <c r="P50" i="2"/>
  <c r="O50" i="2"/>
  <c r="N50" i="2"/>
  <c r="M50" i="2"/>
  <c r="L50" i="2"/>
  <c r="K50" i="2"/>
  <c r="J50" i="2"/>
  <c r="I50" i="2"/>
  <c r="H50" i="2"/>
  <c r="T49" i="2"/>
  <c r="S49" i="2"/>
  <c r="R49" i="2"/>
  <c r="Q49" i="2"/>
  <c r="P49" i="2"/>
  <c r="O49" i="2"/>
  <c r="N49" i="2"/>
  <c r="M49" i="2"/>
  <c r="L49" i="2"/>
  <c r="K49" i="2"/>
  <c r="J49" i="2"/>
  <c r="I49" i="2"/>
  <c r="H49" i="2"/>
  <c r="T48" i="2"/>
  <c r="S48" i="2"/>
  <c r="R48" i="2"/>
  <c r="Q48" i="2"/>
  <c r="P48" i="2"/>
  <c r="O48" i="2"/>
  <c r="N48" i="2"/>
  <c r="M48" i="2"/>
  <c r="L48" i="2"/>
  <c r="K48" i="2"/>
  <c r="J48" i="2"/>
  <c r="I48" i="2"/>
  <c r="H48" i="2"/>
  <c r="T47" i="2"/>
  <c r="S47" i="2"/>
  <c r="R47" i="2"/>
  <c r="Q47" i="2"/>
  <c r="P47" i="2"/>
  <c r="O47" i="2"/>
  <c r="N47" i="2"/>
  <c r="M47" i="2"/>
  <c r="L47" i="2"/>
  <c r="K47" i="2"/>
  <c r="J47" i="2"/>
  <c r="I47" i="2"/>
  <c r="H47" i="2"/>
  <c r="T46" i="2"/>
  <c r="S46" i="2"/>
  <c r="R46" i="2"/>
  <c r="Q46" i="2"/>
  <c r="P46" i="2"/>
  <c r="O46" i="2"/>
  <c r="N46" i="2"/>
  <c r="M46" i="2"/>
  <c r="L46" i="2"/>
  <c r="K46" i="2"/>
  <c r="J46" i="2"/>
  <c r="I46" i="2"/>
  <c r="H46" i="2"/>
  <c r="G62" i="2"/>
  <c r="G61" i="2"/>
  <c r="D61" i="2"/>
  <c r="E61" i="2"/>
  <c r="I61" i="2"/>
  <c r="J61" i="2"/>
  <c r="K61" i="2"/>
  <c r="L61" i="2"/>
  <c r="M61" i="2"/>
  <c r="N61" i="2"/>
  <c r="O61" i="2"/>
  <c r="P61" i="2"/>
  <c r="Q61" i="2"/>
  <c r="R61" i="2"/>
  <c r="S61" i="2"/>
  <c r="T61" i="2"/>
  <c r="I62" i="2"/>
  <c r="I55" i="2"/>
  <c r="I56" i="2"/>
  <c r="I57" i="2"/>
  <c r="I58" i="2"/>
  <c r="I59" i="2"/>
  <c r="I60" i="2"/>
  <c r="T60" i="2"/>
  <c r="S60" i="2"/>
  <c r="R60" i="2"/>
  <c r="Q60" i="2"/>
  <c r="P60" i="2"/>
  <c r="O60" i="2"/>
  <c r="N60" i="2"/>
  <c r="M60" i="2"/>
  <c r="L60" i="2"/>
  <c r="K60" i="2"/>
  <c r="J60" i="2"/>
  <c r="G60" i="2"/>
  <c r="E60" i="2"/>
  <c r="D60" i="2"/>
  <c r="T59" i="2"/>
  <c r="S59" i="2"/>
  <c r="R59" i="2"/>
  <c r="Q59" i="2"/>
  <c r="P59" i="2"/>
  <c r="O59" i="2"/>
  <c r="N59" i="2"/>
  <c r="M59" i="2"/>
  <c r="L59" i="2"/>
  <c r="K59" i="2"/>
  <c r="J59" i="2"/>
  <c r="G59" i="2"/>
  <c r="E59" i="2"/>
  <c r="D59" i="2"/>
  <c r="T58" i="2"/>
  <c r="S58" i="2"/>
  <c r="R58" i="2"/>
  <c r="Q58" i="2"/>
  <c r="P58" i="2"/>
  <c r="O58" i="2"/>
  <c r="N58" i="2"/>
  <c r="M58" i="2"/>
  <c r="L58" i="2"/>
  <c r="K58" i="2"/>
  <c r="J58" i="2"/>
  <c r="G58" i="2"/>
  <c r="E58" i="2"/>
  <c r="D58" i="2"/>
  <c r="T57" i="2"/>
  <c r="S57" i="2"/>
  <c r="R57" i="2"/>
  <c r="Q57" i="2"/>
  <c r="P57" i="2"/>
  <c r="O57" i="2"/>
  <c r="N57" i="2"/>
  <c r="M57" i="2"/>
  <c r="L57" i="2"/>
  <c r="K57" i="2"/>
  <c r="J57" i="2"/>
  <c r="G57" i="2"/>
  <c r="E57" i="2"/>
  <c r="D57" i="2"/>
  <c r="T56" i="2"/>
  <c r="S56" i="2"/>
  <c r="R56" i="2"/>
  <c r="Q56" i="2"/>
  <c r="P56" i="2"/>
  <c r="O56" i="2"/>
  <c r="N56" i="2"/>
  <c r="M56" i="2"/>
  <c r="L56" i="2"/>
  <c r="K56" i="2"/>
  <c r="J56" i="2"/>
  <c r="G56" i="2"/>
  <c r="E56" i="2"/>
  <c r="D56" i="2"/>
  <c r="T55" i="2"/>
  <c r="S55" i="2"/>
  <c r="R55" i="2"/>
  <c r="Q55" i="2"/>
  <c r="P55" i="2"/>
  <c r="O55" i="2"/>
  <c r="N55" i="2"/>
  <c r="M55" i="2"/>
  <c r="L55" i="2"/>
  <c r="K55" i="2"/>
  <c r="J55" i="2"/>
  <c r="G55" i="2"/>
  <c r="E55" i="2"/>
  <c r="D55" i="2"/>
  <c r="G54" i="2"/>
  <c r="E54" i="2"/>
  <c r="D54" i="2"/>
  <c r="G53" i="2"/>
  <c r="E53" i="2"/>
  <c r="D53" i="2"/>
  <c r="G52" i="2"/>
  <c r="E52" i="2"/>
  <c r="D52" i="2"/>
  <c r="G51" i="2"/>
  <c r="E51" i="2"/>
  <c r="D51" i="2"/>
  <c r="G50" i="2"/>
  <c r="E50" i="2"/>
  <c r="D50" i="2"/>
  <c r="G49" i="2"/>
  <c r="E49" i="2"/>
  <c r="D49" i="2"/>
  <c r="G48" i="2"/>
  <c r="E48" i="2"/>
  <c r="D48" i="2"/>
  <c r="G47" i="2"/>
  <c r="E47" i="2"/>
  <c r="D47" i="2"/>
  <c r="G46" i="2"/>
  <c r="E46" i="2"/>
  <c r="D46" i="2"/>
  <c r="I11" i="2"/>
  <c r="J11" i="2"/>
  <c r="K11" i="2"/>
  <c r="I10" i="2"/>
  <c r="J10" i="2"/>
  <c r="K10" i="2"/>
  <c r="U52" i="2"/>
  <c r="W52" i="2"/>
  <c r="W43" i="2"/>
  <c r="H23" i="2"/>
  <c r="H61" i="2"/>
  <c r="U61" i="2"/>
  <c r="H22" i="2"/>
  <c r="U48" i="2"/>
  <c r="V48" i="2"/>
  <c r="H62" i="2"/>
  <c r="U62" i="2"/>
  <c r="U50" i="2"/>
  <c r="V50" i="2"/>
  <c r="U46" i="2"/>
  <c r="W46" i="2"/>
  <c r="U54" i="2"/>
  <c r="W54" i="2"/>
  <c r="W42" i="2"/>
  <c r="U47" i="2"/>
  <c r="W47" i="2"/>
  <c r="U49" i="2"/>
  <c r="V49" i="2"/>
  <c r="U51" i="2"/>
  <c r="W51" i="2"/>
  <c r="U53" i="2"/>
  <c r="W53" i="2"/>
  <c r="N77" i="3"/>
  <c r="N78" i="3"/>
  <c r="N79" i="3"/>
  <c r="N80" i="3"/>
  <c r="N81" i="3"/>
  <c r="N82" i="3"/>
  <c r="N83" i="3"/>
  <c r="N84" i="3"/>
  <c r="N85" i="3"/>
  <c r="N86" i="3"/>
  <c r="N87" i="3"/>
  <c r="N88" i="3"/>
  <c r="N89" i="3"/>
  <c r="N90" i="3"/>
  <c r="N91" i="3"/>
  <c r="N92" i="3"/>
  <c r="N93" i="3"/>
  <c r="N94" i="3"/>
  <c r="I81" i="3"/>
  <c r="I23" i="2"/>
  <c r="J23" i="2"/>
  <c r="K23" i="2"/>
  <c r="I22" i="2"/>
  <c r="J22" i="2"/>
  <c r="V51" i="2"/>
  <c r="V52" i="2"/>
  <c r="V54" i="2"/>
  <c r="X43" i="2"/>
  <c r="V53" i="2"/>
  <c r="Y52" i="2"/>
  <c r="V46" i="2"/>
  <c r="V62" i="2"/>
  <c r="Y62" i="2"/>
  <c r="Y48" i="2"/>
  <c r="W48" i="2"/>
  <c r="Y47" i="2"/>
  <c r="V61" i="2"/>
  <c r="Y61" i="2"/>
  <c r="Y46" i="2"/>
  <c r="Y53" i="2"/>
  <c r="W49" i="2"/>
  <c r="Y49" i="2"/>
  <c r="V47" i="2"/>
  <c r="Y51" i="2"/>
  <c r="W50" i="2"/>
  <c r="Y50" i="2"/>
  <c r="Y54" i="2"/>
  <c r="X42" i="2"/>
  <c r="D5" i="3"/>
  <c r="D6" i="3"/>
  <c r="F5" i="3"/>
  <c r="F6" i="3"/>
  <c r="F7" i="3"/>
  <c r="G5" i="3"/>
  <c r="G6" i="3"/>
  <c r="G7" i="3"/>
  <c r="H5" i="3"/>
  <c r="H6" i="3"/>
  <c r="H7" i="3"/>
  <c r="I5" i="3"/>
  <c r="I6" i="3"/>
  <c r="I7" i="3"/>
  <c r="N8" i="3"/>
  <c r="N9" i="3"/>
  <c r="N10" i="3"/>
  <c r="N11" i="3"/>
  <c r="N12" i="3"/>
  <c r="N13" i="3"/>
  <c r="D14" i="3"/>
  <c r="F14" i="3"/>
  <c r="G14" i="3"/>
  <c r="H14" i="3"/>
  <c r="I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I63" i="3"/>
  <c r="N63" i="3"/>
  <c r="N64" i="3"/>
  <c r="N65" i="3"/>
  <c r="N66" i="3"/>
  <c r="N67" i="3"/>
  <c r="N68" i="3"/>
  <c r="N69" i="3"/>
  <c r="N70" i="3"/>
  <c r="N71" i="3"/>
  <c r="N72" i="3"/>
  <c r="N73" i="3"/>
  <c r="N74" i="3"/>
  <c r="N75" i="3"/>
  <c r="N76" i="3"/>
  <c r="V41" i="2"/>
  <c r="U41" i="2"/>
  <c r="T41" i="2"/>
  <c r="S41" i="2"/>
  <c r="R41" i="2"/>
  <c r="Q41" i="2"/>
  <c r="P41" i="2"/>
  <c r="O41" i="2"/>
  <c r="N41" i="2"/>
  <c r="M41" i="2"/>
  <c r="L41" i="2"/>
  <c r="K41" i="2"/>
  <c r="J41" i="2"/>
  <c r="I41" i="2"/>
  <c r="H41" i="2"/>
  <c r="H9" i="2"/>
  <c r="V40" i="2"/>
  <c r="U40" i="2"/>
  <c r="T40" i="2"/>
  <c r="S40" i="2"/>
  <c r="R40" i="2"/>
  <c r="Q40" i="2"/>
  <c r="P40" i="2"/>
  <c r="O40" i="2"/>
  <c r="N40" i="2"/>
  <c r="M40" i="2"/>
  <c r="L40" i="2"/>
  <c r="K40" i="2"/>
  <c r="J40" i="2"/>
  <c r="I40" i="2"/>
  <c r="H40" i="2"/>
  <c r="H8" i="2"/>
  <c r="V39" i="2"/>
  <c r="U39" i="2"/>
  <c r="T39" i="2"/>
  <c r="S39" i="2"/>
  <c r="R39" i="2"/>
  <c r="Q39" i="2"/>
  <c r="P39" i="2"/>
  <c r="O39" i="2"/>
  <c r="N39" i="2"/>
  <c r="M39" i="2"/>
  <c r="L39" i="2"/>
  <c r="K39" i="2"/>
  <c r="J39" i="2"/>
  <c r="I39" i="2"/>
  <c r="H39" i="2"/>
  <c r="H7" i="2"/>
  <c r="V38" i="2"/>
  <c r="U38" i="2"/>
  <c r="T38" i="2"/>
  <c r="S38" i="2"/>
  <c r="R38" i="2"/>
  <c r="Q38" i="2"/>
  <c r="P38" i="2"/>
  <c r="O38" i="2"/>
  <c r="N38" i="2"/>
  <c r="M38" i="2"/>
  <c r="L38" i="2"/>
  <c r="K38" i="2"/>
  <c r="J38" i="2"/>
  <c r="I38" i="2"/>
  <c r="H38" i="2"/>
  <c r="H6" i="2"/>
  <c r="V37" i="2"/>
  <c r="U37" i="2"/>
  <c r="T37" i="2"/>
  <c r="S37" i="2"/>
  <c r="R37" i="2"/>
  <c r="Q37" i="2"/>
  <c r="P37" i="2"/>
  <c r="O37" i="2"/>
  <c r="N37" i="2"/>
  <c r="M37" i="2"/>
  <c r="L37" i="2"/>
  <c r="K37" i="2"/>
  <c r="J37" i="2"/>
  <c r="I37" i="2"/>
  <c r="H37" i="2"/>
  <c r="H5" i="2"/>
  <c r="E33" i="4"/>
  <c r="F33" i="4"/>
  <c r="V36" i="2"/>
  <c r="U36" i="2"/>
  <c r="T36" i="2"/>
  <c r="S36" i="2"/>
  <c r="R36" i="2"/>
  <c r="Q36" i="2"/>
  <c r="P36" i="2"/>
  <c r="O36" i="2"/>
  <c r="N36" i="2"/>
  <c r="M36" i="2"/>
  <c r="L36" i="2"/>
  <c r="K36" i="2"/>
  <c r="J36" i="2"/>
  <c r="I36" i="2"/>
  <c r="H36" i="2"/>
  <c r="H4" i="2"/>
  <c r="G35" i="2"/>
  <c r="W35" i="2"/>
  <c r="G34" i="2"/>
  <c r="W34" i="2"/>
  <c r="G33" i="2"/>
  <c r="W33" i="2"/>
  <c r="G32" i="2"/>
  <c r="W32" i="2"/>
  <c r="G31" i="2"/>
  <c r="W31" i="2"/>
  <c r="G30" i="2"/>
  <c r="W30" i="2"/>
  <c r="G29" i="2"/>
  <c r="W29" i="2"/>
  <c r="G28" i="2"/>
  <c r="W28" i="2"/>
  <c r="G27" i="2"/>
  <c r="W27" i="2"/>
  <c r="S27" i="2"/>
  <c r="S28" i="2"/>
  <c r="S29" i="2"/>
  <c r="S30" i="2"/>
  <c r="S31" i="2"/>
  <c r="S32" i="2"/>
  <c r="S33" i="2"/>
  <c r="S34" i="2"/>
  <c r="S35" i="2"/>
  <c r="R27" i="2"/>
  <c r="R28" i="2"/>
  <c r="R29" i="2"/>
  <c r="R30" i="2"/>
  <c r="R31" i="2"/>
  <c r="R32" i="2"/>
  <c r="R33" i="2"/>
  <c r="R34" i="2"/>
  <c r="R35" i="2"/>
  <c r="V35" i="2"/>
  <c r="U35" i="2"/>
  <c r="T35" i="2"/>
  <c r="Q35" i="2"/>
  <c r="P35" i="2"/>
  <c r="O35" i="2"/>
  <c r="N35" i="2"/>
  <c r="M35" i="2"/>
  <c r="L35" i="2"/>
  <c r="K35" i="2"/>
  <c r="J35" i="2"/>
  <c r="I35" i="2"/>
  <c r="H35" i="2"/>
  <c r="V34" i="2"/>
  <c r="U34" i="2"/>
  <c r="T34" i="2"/>
  <c r="Q34" i="2"/>
  <c r="P34" i="2"/>
  <c r="O34" i="2"/>
  <c r="N34" i="2"/>
  <c r="M34" i="2"/>
  <c r="L34" i="2"/>
  <c r="K34" i="2"/>
  <c r="J34" i="2"/>
  <c r="I34" i="2"/>
  <c r="H34" i="2"/>
  <c r="V33" i="2"/>
  <c r="U33" i="2"/>
  <c r="T33" i="2"/>
  <c r="Q33" i="2"/>
  <c r="P33" i="2"/>
  <c r="O33" i="2"/>
  <c r="N33" i="2"/>
  <c r="M33" i="2"/>
  <c r="L33" i="2"/>
  <c r="K33" i="2"/>
  <c r="J33" i="2"/>
  <c r="I33" i="2"/>
  <c r="H33" i="2"/>
  <c r="V32" i="2"/>
  <c r="U32" i="2"/>
  <c r="T32" i="2"/>
  <c r="Q32" i="2"/>
  <c r="P32" i="2"/>
  <c r="O32" i="2"/>
  <c r="N32" i="2"/>
  <c r="M32" i="2"/>
  <c r="L32" i="2"/>
  <c r="K32" i="2"/>
  <c r="J32" i="2"/>
  <c r="I32" i="2"/>
  <c r="H32" i="2"/>
  <c r="V31" i="2"/>
  <c r="U31" i="2"/>
  <c r="T31" i="2"/>
  <c r="Q31" i="2"/>
  <c r="P31" i="2"/>
  <c r="O31" i="2"/>
  <c r="N31" i="2"/>
  <c r="M31" i="2"/>
  <c r="L31" i="2"/>
  <c r="K31" i="2"/>
  <c r="J31" i="2"/>
  <c r="I31" i="2"/>
  <c r="H31" i="2"/>
  <c r="V30" i="2"/>
  <c r="U30" i="2"/>
  <c r="T30" i="2"/>
  <c r="Q30" i="2"/>
  <c r="P30" i="2"/>
  <c r="O30" i="2"/>
  <c r="N30" i="2"/>
  <c r="M30" i="2"/>
  <c r="L30" i="2"/>
  <c r="K30" i="2"/>
  <c r="J30" i="2"/>
  <c r="I30" i="2"/>
  <c r="H30" i="2"/>
  <c r="V29" i="2"/>
  <c r="U29" i="2"/>
  <c r="T29" i="2"/>
  <c r="Q29" i="2"/>
  <c r="P29" i="2"/>
  <c r="O29" i="2"/>
  <c r="N29" i="2"/>
  <c r="M29" i="2"/>
  <c r="L29" i="2"/>
  <c r="K29" i="2"/>
  <c r="J29" i="2"/>
  <c r="I29" i="2"/>
  <c r="H29" i="2"/>
  <c r="V28" i="2"/>
  <c r="U28" i="2"/>
  <c r="T28" i="2"/>
  <c r="Q28" i="2"/>
  <c r="P28" i="2"/>
  <c r="O28" i="2"/>
  <c r="N28" i="2"/>
  <c r="M28" i="2"/>
  <c r="L28" i="2"/>
  <c r="K28" i="2"/>
  <c r="J28" i="2"/>
  <c r="I28" i="2"/>
  <c r="H28" i="2"/>
  <c r="V27" i="2"/>
  <c r="U27" i="2"/>
  <c r="T27" i="2"/>
  <c r="Q27" i="2"/>
  <c r="P27" i="2"/>
  <c r="O27" i="2"/>
  <c r="N27" i="2"/>
  <c r="M27" i="2"/>
  <c r="L27" i="2"/>
  <c r="K27" i="2"/>
  <c r="J27" i="2"/>
  <c r="I27" i="2"/>
  <c r="H27" i="2"/>
  <c r="E41" i="2"/>
  <c r="E40" i="2"/>
  <c r="E39" i="2"/>
  <c r="E38" i="2"/>
  <c r="E37" i="2"/>
  <c r="E36" i="2"/>
  <c r="E35" i="2"/>
  <c r="E34" i="2"/>
  <c r="E33" i="2"/>
  <c r="E32" i="2"/>
  <c r="E31" i="2"/>
  <c r="E30" i="2"/>
  <c r="E29" i="2"/>
  <c r="E28" i="2"/>
  <c r="D41" i="2"/>
  <c r="D9" i="2"/>
  <c r="D21" i="2"/>
  <c r="D40" i="2"/>
  <c r="D8" i="2"/>
  <c r="D20" i="2"/>
  <c r="D39" i="2"/>
  <c r="D7" i="2"/>
  <c r="D19" i="2"/>
  <c r="D38" i="2"/>
  <c r="D6" i="2"/>
  <c r="D18" i="2"/>
  <c r="D37" i="2"/>
  <c r="D5" i="2"/>
  <c r="D17" i="2"/>
  <c r="D36" i="2"/>
  <c r="D4" i="2"/>
  <c r="D16" i="2"/>
  <c r="D35" i="2"/>
  <c r="D34" i="2"/>
  <c r="D33" i="2"/>
  <c r="D32" i="2"/>
  <c r="D31" i="2"/>
  <c r="D30" i="2"/>
  <c r="D29" i="2"/>
  <c r="D28" i="2"/>
  <c r="G41" i="2"/>
  <c r="G40" i="2"/>
  <c r="G39" i="2"/>
  <c r="G38" i="2"/>
  <c r="G37" i="2"/>
  <c r="G36" i="2"/>
  <c r="E27" i="2"/>
  <c r="D27" i="2"/>
  <c r="G81" i="1"/>
  <c r="G83" i="1"/>
  <c r="G80" i="1"/>
  <c r="E32" i="4"/>
  <c r="F32" i="4"/>
  <c r="O40" i="3"/>
  <c r="D30" i="4"/>
  <c r="D36" i="4"/>
  <c r="J30" i="4"/>
  <c r="J36" i="4"/>
  <c r="I30" i="4"/>
  <c r="I36" i="4"/>
  <c r="H30" i="4"/>
  <c r="H36" i="4"/>
  <c r="G30" i="4"/>
  <c r="G36" i="4"/>
  <c r="E30" i="4"/>
  <c r="D3" i="4"/>
  <c r="D4" i="4"/>
  <c r="D5" i="4"/>
  <c r="D12" i="4"/>
  <c r="J12" i="4"/>
  <c r="I12" i="4"/>
  <c r="H12" i="4"/>
  <c r="G12" i="4"/>
  <c r="J3" i="4"/>
  <c r="J4" i="4"/>
  <c r="J5" i="4"/>
  <c r="J29" i="4"/>
  <c r="J35" i="4"/>
  <c r="I3" i="4"/>
  <c r="H3" i="4"/>
  <c r="H4" i="4"/>
  <c r="H5" i="4"/>
  <c r="H29" i="4"/>
  <c r="H35" i="4"/>
  <c r="G3" i="4"/>
  <c r="G4" i="4"/>
  <c r="F11" i="4"/>
  <c r="K11" i="4"/>
  <c r="F10" i="4"/>
  <c r="K10" i="4"/>
  <c r="F9" i="4"/>
  <c r="K9" i="4"/>
  <c r="F8" i="4"/>
  <c r="K8" i="4"/>
  <c r="F7" i="4"/>
  <c r="K7" i="4"/>
  <c r="F6" i="4"/>
  <c r="K6" i="4"/>
  <c r="F26" i="4"/>
  <c r="K26" i="4"/>
  <c r="M26" i="4"/>
  <c r="F25" i="4"/>
  <c r="K25" i="4"/>
  <c r="M25" i="4"/>
  <c r="F24" i="4"/>
  <c r="K24" i="4"/>
  <c r="F23" i="4"/>
  <c r="K23" i="4"/>
  <c r="F22" i="4"/>
  <c r="K22" i="4"/>
  <c r="F21" i="4"/>
  <c r="K21" i="4"/>
  <c r="F20" i="4"/>
  <c r="K20" i="4"/>
  <c r="F19" i="4"/>
  <c r="K19" i="4"/>
  <c r="F18" i="4"/>
  <c r="K18" i="4"/>
  <c r="F17" i="4"/>
  <c r="K17" i="4"/>
  <c r="F16" i="4"/>
  <c r="K16" i="4"/>
  <c r="F15" i="4"/>
  <c r="K15" i="4"/>
  <c r="K30" i="4"/>
  <c r="F14" i="4"/>
  <c r="K14" i="4"/>
  <c r="F13" i="4"/>
  <c r="K13" i="4"/>
  <c r="E12" i="4"/>
  <c r="E3" i="4"/>
  <c r="E4" i="4"/>
  <c r="E5" i="4"/>
  <c r="I4" i="4"/>
  <c r="I5" i="4"/>
  <c r="I29" i="4"/>
  <c r="I35" i="4"/>
  <c r="F3" i="4"/>
  <c r="K3" i="4"/>
  <c r="B83" i="1"/>
  <c r="G105" i="1"/>
  <c r="G82" i="1"/>
  <c r="G107" i="1"/>
  <c r="E29" i="4"/>
  <c r="F30" i="4"/>
  <c r="F12" i="4"/>
  <c r="K12" i="4"/>
  <c r="F4" i="4"/>
  <c r="K4" i="4"/>
  <c r="N14" i="3"/>
  <c r="O52" i="3"/>
  <c r="M44" i="2"/>
  <c r="M64" i="2"/>
  <c r="O44" i="2"/>
  <c r="O64" i="2"/>
  <c r="O67" i="2"/>
  <c r="I7" i="2"/>
  <c r="I19" i="2"/>
  <c r="U44" i="2"/>
  <c r="E3" i="2"/>
  <c r="E44" i="2"/>
  <c r="I44" i="2"/>
  <c r="I64" i="2"/>
  <c r="Q44" i="2"/>
  <c r="Q64" i="2"/>
  <c r="G3" i="2"/>
  <c r="G15" i="2"/>
  <c r="G24" i="2"/>
  <c r="G44" i="2"/>
  <c r="J67" i="2"/>
  <c r="T67" i="2"/>
  <c r="J44" i="2"/>
  <c r="J64" i="2"/>
  <c r="T44" i="2"/>
  <c r="H67" i="2"/>
  <c r="P44" i="2"/>
  <c r="P64" i="2"/>
  <c r="G67" i="2"/>
  <c r="Q67" i="2"/>
  <c r="D3" i="2"/>
  <c r="D15" i="2"/>
  <c r="D24" i="2"/>
  <c r="D44" i="2"/>
  <c r="K67" i="2"/>
  <c r="K44" i="2"/>
  <c r="K64" i="2"/>
  <c r="P67" i="2"/>
  <c r="H3" i="2"/>
  <c r="H15" i="2"/>
  <c r="H44" i="2"/>
  <c r="H64" i="2"/>
  <c r="I67" i="2"/>
  <c r="U67" i="2"/>
  <c r="L67" i="2"/>
  <c r="V67" i="2"/>
  <c r="L44" i="2"/>
  <c r="L64" i="2"/>
  <c r="V44" i="2"/>
  <c r="E67" i="2"/>
  <c r="R44" i="2"/>
  <c r="R64" i="2"/>
  <c r="R67" i="2"/>
  <c r="M67" i="2"/>
  <c r="N67" i="2"/>
  <c r="N44" i="2"/>
  <c r="N64" i="2"/>
  <c r="S44" i="2"/>
  <c r="S64" i="2"/>
  <c r="S67" i="2"/>
  <c r="D67" i="2"/>
  <c r="H19" i="2"/>
  <c r="I8" i="2"/>
  <c r="I20" i="2"/>
  <c r="H17" i="2"/>
  <c r="H16" i="2"/>
  <c r="I5" i="2"/>
  <c r="I17" i="2"/>
  <c r="I3" i="2"/>
  <c r="I15" i="2"/>
  <c r="I4" i="2"/>
  <c r="J4" i="2"/>
  <c r="K4" i="2"/>
  <c r="K32" i="4"/>
  <c r="H18" i="2"/>
  <c r="I6" i="2"/>
  <c r="I18" i="2"/>
  <c r="H21" i="2"/>
  <c r="H20" i="2"/>
  <c r="I9" i="2"/>
  <c r="I21" i="2"/>
  <c r="K22" i="2"/>
  <c r="Y34" i="2"/>
  <c r="W38" i="2"/>
  <c r="X38" i="2"/>
  <c r="W41" i="2"/>
  <c r="W39" i="2"/>
  <c r="W40" i="2"/>
  <c r="D29" i="4"/>
  <c r="D35" i="4"/>
  <c r="F5" i="4"/>
  <c r="K5" i="4"/>
  <c r="K29" i="4"/>
  <c r="G5" i="4"/>
  <c r="G29" i="4"/>
  <c r="G35" i="4"/>
  <c r="D7" i="3"/>
  <c r="N7" i="3"/>
  <c r="N6" i="3"/>
  <c r="N5" i="3"/>
  <c r="O28" i="3"/>
  <c r="F36" i="4"/>
  <c r="Y35" i="2"/>
  <c r="W37" i="2"/>
  <c r="Y32" i="2"/>
  <c r="Y33" i="2"/>
  <c r="X28" i="2"/>
  <c r="Y29" i="2"/>
  <c r="X32" i="2"/>
  <c r="X34" i="2"/>
  <c r="X35" i="2"/>
  <c r="W36" i="2"/>
  <c r="H55" i="2"/>
  <c r="U55" i="2"/>
  <c r="Y30" i="2"/>
  <c r="Y31" i="2"/>
  <c r="H56" i="2"/>
  <c r="U56" i="2"/>
  <c r="Y56" i="2"/>
  <c r="H58" i="2"/>
  <c r="U58" i="2"/>
  <c r="Y58" i="2"/>
  <c r="H60" i="2"/>
  <c r="U60" i="2"/>
  <c r="Y60" i="2"/>
  <c r="H57" i="2"/>
  <c r="U57" i="2"/>
  <c r="Y57" i="2"/>
  <c r="H59" i="2"/>
  <c r="U59" i="2"/>
  <c r="Y59" i="2"/>
  <c r="E35" i="4"/>
  <c r="X27" i="2"/>
  <c r="X30" i="2"/>
  <c r="X31" i="2"/>
  <c r="E36" i="4"/>
  <c r="Y27" i="2"/>
  <c r="Y28" i="2"/>
  <c r="X29" i="2"/>
  <c r="X33" i="2"/>
  <c r="D12" i="2"/>
  <c r="J7" i="2"/>
  <c r="K7" i="2"/>
  <c r="K35" i="4"/>
  <c r="F29" i="4"/>
  <c r="F35" i="4"/>
  <c r="J19" i="2"/>
  <c r="K19" i="2"/>
  <c r="J6" i="2"/>
  <c r="J9" i="2"/>
  <c r="K9" i="2"/>
  <c r="W67" i="2"/>
  <c r="H12" i="2"/>
  <c r="J15" i="2"/>
  <c r="J17" i="2"/>
  <c r="K17" i="2"/>
  <c r="J3" i="2"/>
  <c r="K3" i="2"/>
  <c r="W44" i="2"/>
  <c r="I16" i="2"/>
  <c r="J16" i="2"/>
  <c r="P52" i="3"/>
  <c r="J8" i="2"/>
  <c r="K8" i="2"/>
  <c r="G12" i="2"/>
  <c r="H24" i="2"/>
  <c r="E12" i="2"/>
  <c r="E15" i="2"/>
  <c r="E24" i="2"/>
  <c r="J18" i="2"/>
  <c r="K18" i="2"/>
  <c r="K6" i="2"/>
  <c r="P40" i="3"/>
  <c r="I12" i="2"/>
  <c r="J20" i="2"/>
  <c r="K20" i="2"/>
  <c r="J5" i="2"/>
  <c r="W56" i="2"/>
  <c r="J21" i="2"/>
  <c r="K21" i="2"/>
  <c r="X41" i="2"/>
  <c r="X39" i="2"/>
  <c r="X40" i="2"/>
  <c r="V55" i="2"/>
  <c r="Y55" i="2"/>
  <c r="P16" i="3"/>
  <c r="O16" i="3"/>
  <c r="W55" i="2"/>
  <c r="X37" i="2"/>
  <c r="X36" i="2"/>
  <c r="V57" i="2"/>
  <c r="W57" i="2"/>
  <c r="V58" i="2"/>
  <c r="W58" i="2"/>
  <c r="V59" i="2"/>
  <c r="V60" i="2"/>
  <c r="V56" i="2"/>
  <c r="W60" i="2"/>
  <c r="P64" i="3"/>
  <c r="I24" i="2"/>
  <c r="P76" i="3"/>
  <c r="O76" i="3"/>
  <c r="W59" i="2"/>
  <c r="O64" i="3"/>
  <c r="X67" i="2"/>
  <c r="J24" i="2"/>
  <c r="K15" i="2"/>
  <c r="X44" i="2"/>
  <c r="K5" i="2"/>
  <c r="K33" i="4"/>
  <c r="K36" i="4"/>
  <c r="P28" i="3"/>
  <c r="K16" i="2"/>
  <c r="J12" i="2"/>
  <c r="K24" i="2"/>
  <c r="K12" i="2"/>
  <c r="I128" i="16" l="1"/>
  <c r="I157" i="16"/>
  <c r="I127" i="16"/>
  <c r="H128" i="16"/>
  <c r="H157" i="16"/>
  <c r="H127" i="16"/>
  <c r="W157" i="16"/>
  <c r="W127" i="16"/>
  <c r="W128" i="16"/>
  <c r="P157" i="16"/>
  <c r="P128" i="16"/>
  <c r="P127" i="16"/>
  <c r="K157" i="16"/>
  <c r="K127" i="16"/>
  <c r="K128" i="16"/>
  <c r="N157" i="16"/>
  <c r="N128" i="16"/>
  <c r="N127" i="16"/>
  <c r="V157" i="16"/>
  <c r="V127" i="16"/>
  <c r="V128" i="16"/>
  <c r="S157" i="16"/>
  <c r="S127" i="16"/>
  <c r="S128" i="16"/>
  <c r="X157" i="16"/>
  <c r="X127" i="16"/>
  <c r="X128" i="16"/>
  <c r="T127" i="16"/>
  <c r="T157" i="16"/>
  <c r="T128" i="16"/>
  <c r="R157" i="16"/>
  <c r="R127" i="16"/>
  <c r="R128" i="16"/>
  <c r="U128" i="16"/>
  <c r="U157" i="16"/>
  <c r="U127" i="16"/>
  <c r="Z117" i="16"/>
  <c r="Z127" i="16" s="1"/>
  <c r="G157" i="16"/>
  <c r="G127" i="16"/>
  <c r="G128" i="16"/>
  <c r="J157" i="16"/>
  <c r="J128" i="16"/>
  <c r="J127" i="16"/>
  <c r="Y128" i="16"/>
  <c r="Y157" i="16"/>
  <c r="Y127" i="16"/>
  <c r="O157" i="16"/>
  <c r="O127" i="16"/>
  <c r="O128" i="16"/>
  <c r="Q157" i="16"/>
  <c r="Q127" i="16"/>
  <c r="Q128" i="16"/>
  <c r="L157" i="16"/>
  <c r="L128" i="16"/>
  <c r="L127" i="16"/>
  <c r="M128" i="16"/>
  <c r="M157" i="16"/>
  <c r="M127" i="16"/>
  <c r="H167" i="16" l="1"/>
  <c r="H168" i="16"/>
  <c r="B33" i="15" s="1"/>
  <c r="I167" i="16"/>
  <c r="I168" i="16"/>
  <c r="B34" i="15" s="1"/>
  <c r="K168" i="16"/>
  <c r="K167" i="16"/>
  <c r="Q168" i="16"/>
  <c r="Q167" i="16"/>
  <c r="U167" i="16"/>
  <c r="U168" i="16"/>
  <c r="V167" i="16"/>
  <c r="V168" i="16"/>
  <c r="M167" i="16"/>
  <c r="M168" i="16"/>
  <c r="C9" i="15" s="1"/>
  <c r="J167" i="16"/>
  <c r="J168" i="16"/>
  <c r="P168" i="16"/>
  <c r="C17" i="15" s="1"/>
  <c r="P167" i="16"/>
  <c r="L167" i="16"/>
  <c r="L168" i="16"/>
  <c r="C6" i="15" s="1"/>
  <c r="S168" i="16"/>
  <c r="S167" i="16"/>
  <c r="Z128" i="16"/>
  <c r="AA128" i="16" s="1"/>
  <c r="X167" i="16"/>
  <c r="X168" i="16"/>
  <c r="Y168" i="16"/>
  <c r="C41" i="15" s="1"/>
  <c r="Y167" i="16"/>
  <c r="T167" i="16"/>
  <c r="T168" i="16"/>
  <c r="O168" i="16"/>
  <c r="C21" i="15" s="1"/>
  <c r="O167" i="16"/>
  <c r="AA127" i="16"/>
  <c r="N167" i="16"/>
  <c r="N168" i="16"/>
  <c r="C13" i="15" s="1"/>
  <c r="Z157" i="16"/>
  <c r="Z167" i="16" s="1"/>
  <c r="G168" i="16"/>
  <c r="G167" i="16"/>
  <c r="R168" i="16"/>
  <c r="R167" i="16"/>
  <c r="W168" i="16"/>
  <c r="W167" i="16"/>
  <c r="B32" i="15" l="1"/>
  <c r="C31" i="15"/>
  <c r="C5" i="15"/>
  <c r="AA167" i="16"/>
  <c r="Z168" i="16"/>
  <c r="Z171" i="16" s="1"/>
  <c r="C27" i="15"/>
  <c r="C24" i="15"/>
  <c r="C43" i="15" l="1"/>
  <c r="C46" i="15" s="1"/>
  <c r="X170" i="16"/>
  <c r="AA168" i="16"/>
</calcChain>
</file>

<file path=xl/sharedStrings.xml><?xml version="1.0" encoding="utf-8"?>
<sst xmlns="http://schemas.openxmlformats.org/spreadsheetml/2006/main" count="1033" uniqueCount="296">
  <si>
    <t>CROWN SOUTHBANK                 Fri 03 Jan 2020</t>
  </si>
  <si>
    <t>11:40        Page No.:</t>
  </si>
  <si>
    <t>BONUS JACKPOT ANALYSIS REPORT - TOTAL</t>
  </si>
  <si>
    <t>Ver. No.:</t>
  </si>
  <si>
    <t>REPORTING PERIOD: 01 Dec 2019 to 31 Dec 2019</t>
  </si>
  <si>
    <t>Emp. No.:</t>
  </si>
  <si>
    <t>===============================================</t>
  </si>
  <si>
    <t>========================</t>
  </si>
  <si>
    <t>=======</t>
  </si>
  <si>
    <t>Bonus Jackpots</t>
  </si>
  <si>
    <t>TOTAL</t>
  </si>
  <si>
    <t>% TRO</t>
  </si>
  <si>
    <t>-----------------------------------------------</t>
  </si>
  <si>
    <t>------------------------</t>
  </si>
  <si>
    <t>-------</t>
  </si>
  <si>
    <t>CONSOLATION PRIZES</t>
  </si>
  <si>
    <t>Member Consolations</t>
  </si>
  <si>
    <t>CONSOLATION PRIZES TOTAL</t>
  </si>
  <si>
    <t>FREE CREDITS PROGRAM</t>
  </si>
  <si>
    <t>Seniors Promotion</t>
  </si>
  <si>
    <t>Standard W/Back</t>
  </si>
  <si>
    <t>FREE CREDITS PROGRAM TOTAL</t>
  </si>
  <si>
    <t>MAIL OUTS</t>
  </si>
  <si>
    <t>Bonus Pokie $100</t>
  </si>
  <si>
    <t>$10 Bonus Pokie</t>
  </si>
  <si>
    <t>Bonus Pokie $150</t>
  </si>
  <si>
    <t>$20 Bonus Pokie</t>
  </si>
  <si>
    <t>Bonus Pokie $30</t>
  </si>
  <si>
    <t>$40 Bonus Pokie</t>
  </si>
  <si>
    <t>Bonus Pokie $50</t>
  </si>
  <si>
    <t>Bonus Pokie $75</t>
  </si>
  <si>
    <t>Bonus Pokie $10</t>
  </si>
  <si>
    <t>Bonus Pokie $20</t>
  </si>
  <si>
    <t>Bonus Pokie $40</t>
  </si>
  <si>
    <t>Pokie Bonus $10</t>
  </si>
  <si>
    <t>Pokie Bonus $150</t>
  </si>
  <si>
    <t>Pokie Bonus $20</t>
  </si>
  <si>
    <t>Pokie Bonus $30</t>
  </si>
  <si>
    <t>Pokie Bonus $40</t>
  </si>
  <si>
    <t>Pokie Bonus $75</t>
  </si>
  <si>
    <t>MAIL OUTS TOTAL</t>
  </si>
  <si>
    <t>MATCHPLAY</t>
  </si>
  <si>
    <t>MATCH PLAY</t>
  </si>
  <si>
    <t>MATCHPLAY TOTAL</t>
  </si>
  <si>
    <t>MISCELLANEOUS</t>
  </si>
  <si>
    <t>Jackpot Payments</t>
  </si>
  <si>
    <t>MISCELLANEOUS TOTAL</t>
  </si>
  <si>
    <t>RANDOM RICHES PROMO</t>
  </si>
  <si>
    <t>Random Riches Promo</t>
  </si>
  <si>
    <t>RANDOM RICHES PROMO TOTAL</t>
  </si>
  <si>
    <t>CONSOLATION BJ</t>
  </si>
  <si>
    <t>CONSOLATION BJ TOTAL</t>
  </si>
  <si>
    <t>POKIE CREDIT TCKT</t>
  </si>
  <si>
    <t>$5 PROMO MISCELLANEOUS</t>
  </si>
  <si>
    <t>F&amp;B PROMO TICKET</t>
  </si>
  <si>
    <t>SIGNATURE CLUB PROMO TCKT</t>
  </si>
  <si>
    <t>POKIE CREDIT TCKT TOTAL</t>
  </si>
  <si>
    <t>BONUS JACKPOTS</t>
  </si>
  <si>
    <t>$5 BJ Senr</t>
  </si>
  <si>
    <t>$7.50 BJ</t>
  </si>
  <si>
    <t>$17.50 BJ Grande</t>
  </si>
  <si>
    <t>$17.50 BJ</t>
  </si>
  <si>
    <t>$50 BJ</t>
  </si>
  <si>
    <t>BRONZE_CP_BJ</t>
  </si>
  <si>
    <t>SIGCP BJ</t>
  </si>
  <si>
    <t>VIPVAL BJ</t>
  </si>
  <si>
    <t>Slot Hotel Black Night1</t>
  </si>
  <si>
    <t>Slot Hotel Black Night2</t>
  </si>
  <si>
    <t>Slot Hotel Black Night3</t>
  </si>
  <si>
    <t>Slot Hotel Plat Night1</t>
  </si>
  <si>
    <t>Slot Hotel Plat Night2</t>
  </si>
  <si>
    <t>Slot Hotel Plat Night3</t>
  </si>
  <si>
    <t>GRAND TOTAL</t>
  </si>
  <si>
    <t>Bonusing (Points)</t>
  </si>
  <si>
    <t>Bonusing (Rewards)</t>
  </si>
  <si>
    <t>Fiscal Year Number</t>
  </si>
  <si>
    <t>Turnover</t>
  </si>
  <si>
    <t>Net Revenue</t>
  </si>
  <si>
    <t>Rewards Amount</t>
  </si>
  <si>
    <t>FY</t>
  </si>
  <si>
    <t>Month</t>
  </si>
  <si>
    <t>W/Back</t>
  </si>
  <si>
    <t>FY14</t>
  </si>
  <si>
    <t>FY15</t>
  </si>
  <si>
    <t>FY16</t>
  </si>
  <si>
    <t>FY17</t>
  </si>
  <si>
    <t>FY18</t>
  </si>
  <si>
    <t>FY19</t>
  </si>
  <si>
    <t>Row Labels</t>
  </si>
  <si>
    <t>Grand Total</t>
  </si>
  <si>
    <t>Sum of W/Back</t>
  </si>
  <si>
    <t>Total Points</t>
  </si>
  <si>
    <t>Matchplay and others</t>
  </si>
  <si>
    <t>Total Bonusing</t>
  </si>
  <si>
    <t>A</t>
  </si>
  <si>
    <t>B</t>
  </si>
  <si>
    <t>C</t>
  </si>
  <si>
    <t>D = B + C</t>
  </si>
  <si>
    <t>E = A + D</t>
  </si>
  <si>
    <t>Free Credits Total</t>
  </si>
  <si>
    <t>C=A+B</t>
  </si>
  <si>
    <t>Mailouts</t>
  </si>
  <si>
    <t>Matchplay</t>
  </si>
  <si>
    <t>D</t>
  </si>
  <si>
    <t>E</t>
  </si>
  <si>
    <t>Bonus Jackpot Total</t>
  </si>
  <si>
    <t>Miscellanous</t>
  </si>
  <si>
    <t>F</t>
  </si>
  <si>
    <t>G</t>
  </si>
  <si>
    <t>H=C+D+E+F+G</t>
  </si>
  <si>
    <t>Consolation</t>
  </si>
  <si>
    <t>Total</t>
  </si>
  <si>
    <t xml:space="preserve">                                            -  </t>
  </si>
  <si>
    <t xml:space="preserve">                                                        -  </t>
  </si>
  <si>
    <t>VARIANCE TO JOSE'S FIGURE</t>
  </si>
  <si>
    <t>Jose</t>
  </si>
  <si>
    <t>Steven</t>
  </si>
  <si>
    <t>PROMOTIONAL TICKETS</t>
  </si>
  <si>
    <t>Var.</t>
  </si>
  <si>
    <t>Total FY</t>
  </si>
  <si>
    <t>Sum of Seniors Promotion</t>
  </si>
  <si>
    <t>Sum of MAIL OUTS</t>
  </si>
  <si>
    <t>Sum of MATCHPLAY</t>
  </si>
  <si>
    <t>Sum of MISCELLANEOUS</t>
  </si>
  <si>
    <t>Sum of Member Consolations</t>
  </si>
  <si>
    <t>Sum of RANDOM RICHES PROMO</t>
  </si>
  <si>
    <t>Sum of CONSOLATION PRIZES</t>
  </si>
  <si>
    <t>Sum of POKIE CREDIT TCKT TOTAL</t>
  </si>
  <si>
    <t>Sum of PROMOTIONAL TICKETS</t>
  </si>
  <si>
    <t>KPI Report_Area Data</t>
  </si>
  <si>
    <t>Gaming Product Type: S</t>
  </si>
  <si>
    <t>DACOM Promo Level 1 Description</t>
  </si>
  <si>
    <t>Reward Amount</t>
  </si>
  <si>
    <t>Redeemed Amount</t>
  </si>
  <si>
    <t>Free Credits Program</t>
  </si>
  <si>
    <t>Country Members</t>
  </si>
  <si>
    <t>Birthday Promotions</t>
  </si>
  <si>
    <t>Mail Outs</t>
  </si>
  <si>
    <t>Progam Promotions</t>
  </si>
  <si>
    <t>Incentive Programs</t>
  </si>
  <si>
    <t>Consolation Prizes</t>
  </si>
  <si>
    <t>Miscellaneous</t>
  </si>
  <si>
    <t>Summary</t>
  </si>
  <si>
    <r>
      <rPr>
        <sz val="10"/>
        <color rgb="FF332B04"/>
        <rFont val="Tahoma"/>
        <family val="2"/>
      </rPr>
      <t xml:space="preserve"> - </t>
    </r>
    <r>
      <rPr>
        <sz val="10"/>
        <color rgb="FF332B04"/>
        <rFont val="Tahoma"/>
        <family val="2"/>
      </rPr>
      <t>1</t>
    </r>
    <r>
      <rPr>
        <sz val="10"/>
        <color rgb="FF332B04"/>
        <rFont val="Tahoma"/>
        <family val="2"/>
      </rPr>
      <t xml:space="preserve"> - </t>
    </r>
  </si>
  <si>
    <t>Column Labels</t>
  </si>
  <si>
    <t>(blank)</t>
  </si>
  <si>
    <t>Sum of Redeemed Amount</t>
  </si>
  <si>
    <t>FY20</t>
  </si>
  <si>
    <t>FY21</t>
  </si>
  <si>
    <t>Sum of Awarded Amount</t>
  </si>
  <si>
    <t>Dacom vs COGNOS</t>
  </si>
  <si>
    <t>COGNOS</t>
  </si>
  <si>
    <t>Var to email</t>
  </si>
  <si>
    <t>Calculation of total points is based on Dacom data (Wback, Mplay and others) plus COGNOS (Rewards amount)</t>
  </si>
  <si>
    <t>NOTE - 2021 data is to the end of May</t>
  </si>
  <si>
    <t>Indicative Tax Impact</t>
  </si>
  <si>
    <t>Detail of Bonus Jackpots</t>
  </si>
  <si>
    <t>Bonus Jackpots - Carpark; Valet; Dining Rewards; Comp Hotel</t>
  </si>
  <si>
    <t xml:space="preserve">Welcome Back </t>
  </si>
  <si>
    <t>Matchplay; Mail Outs; Random Riches; Jackpot Payments; Consolation; Pokie Credit Tickets</t>
  </si>
  <si>
    <t>Breakdown of Bonus Jackpots from taken from DACOM. Rewards amount from CDW.</t>
  </si>
  <si>
    <t>Total 2013 TO 2021</t>
  </si>
  <si>
    <t>Total 2005 TO 2021</t>
  </si>
  <si>
    <t>CDW Data</t>
  </si>
  <si>
    <t>Receive $7.50 Dining Reward by earning 150 points on gaming machines in a day</t>
  </si>
  <si>
    <t>Dining Rewards, the amount issued is based on Pokie Points earned on Gaming Machines during a visit example:</t>
  </si>
  <si>
    <t>Hotel Night Benefits Crown Rewards Rewards Platinum - 1000 Pokie Points</t>
  </si>
  <si>
    <t>Hotel Night Benefits Crown Rewards Rewards Black - 1,000 Pokie Points</t>
  </si>
  <si>
    <t xml:space="preserve">Valet Parking for Black and Platinum Crown Rewards - 1,000 Pokie Points </t>
  </si>
  <si>
    <t>Carpark 25 Pokie Points in a day</t>
  </si>
  <si>
    <t>Only when the item is redeemed is the award deducted from revenue on the day</t>
  </si>
  <si>
    <t xml:space="preserve">Once the items are earned they are awarded to the patron itemised to the issued gaming machine </t>
  </si>
  <si>
    <t>All these items are based a qualification of points earned on a gaming machine only (same as category 1-Pokie Credit Rewards)</t>
  </si>
  <si>
    <t>08-001;08-002;08-004</t>
  </si>
  <si>
    <t>08-003</t>
  </si>
  <si>
    <t>Based on Pokie Points earned on Gaming Machines</t>
  </si>
  <si>
    <t>8. Bonus Jackpots</t>
  </si>
  <si>
    <t xml:space="preserve">These Pokie Credits are non-cashable and non-transferable </t>
  </si>
  <si>
    <t>These are tickets that are inserted into a gaming machine and give the customer a dollar amount of Pokie Credits</t>
  </si>
  <si>
    <t>07-002</t>
  </si>
  <si>
    <t>07-001</t>
  </si>
  <si>
    <t>Promotional Pokie Credit Game Tickets issued to players for redemption at Gaming Machines</t>
  </si>
  <si>
    <t>7. Pokie Credit Tickets</t>
  </si>
  <si>
    <t xml:space="preserve">Based on a Lucky Time Jackpot win, player will receive double base game wins for a specified time eg 2 mins </t>
  </si>
  <si>
    <t>06-002</t>
  </si>
  <si>
    <t>06-001;05-002</t>
  </si>
  <si>
    <t>Consolation payments e.g. issued from Lucky Time Jackpots with Member Money Multiplier</t>
  </si>
  <si>
    <t xml:space="preserve">6. Consolation </t>
  </si>
  <si>
    <t>Lucky Time Jackpots are time based jackpots where customers have a chance to win rewards randomly on participating Gaming Machines based on a random time eg Pokie Credit Amounts</t>
  </si>
  <si>
    <t>05-001</t>
  </si>
  <si>
    <t>05-002;05-003;05-004</t>
  </si>
  <si>
    <t>Carded / Uncarded Lucky Time Jackpots</t>
  </si>
  <si>
    <t xml:space="preserve">5. Jackpot Payments </t>
  </si>
  <si>
    <t>Crown Marketing review groups of members based a various analytical criteria and arrange Direct or Electronic Mail Offer to be sent with instructions on how to qualify and redeem the offer</t>
  </si>
  <si>
    <t xml:space="preserve">Pokie Credit Rewards are played at the Gaming Machine and are non-cashable </t>
  </si>
  <si>
    <t>04-001;04-002;</t>
  </si>
  <si>
    <t>04-003;04-004;04-005;04-006</t>
  </si>
  <si>
    <t>Pokie Credit rewards based on earning Pokie Points on a gaming machine for specific groups, dates and times of Crown Rewards Members</t>
  </si>
  <si>
    <t>4. Random Riches (Carded Lucky Rewards)</t>
  </si>
  <si>
    <t>Once Crown Reward Points are exchanged for Pokie Credit Rewards at the machine they are are non-cashable</t>
  </si>
  <si>
    <t>Members earn Crown Reward points across the complex for spend on gaming and at non-gaming outlets</t>
  </si>
  <si>
    <t>01-004;01-005</t>
  </si>
  <si>
    <t>1997 - Unable to Locate</t>
  </si>
  <si>
    <t>These are Pokie Credits received by exchanging Crown Rewards points for Pokie Credits at any gaming machine</t>
  </si>
  <si>
    <t>3. Pokie Credits (Matchplay)</t>
  </si>
  <si>
    <t>Bonus Pokie Credit Rewards  are played at the Gaming Machine and are non-cashable</t>
  </si>
  <si>
    <t>Crown Marketing review groups of members based a various analytical criteria and arrange Direct or Electronic Mail Offer to be sent.</t>
  </si>
  <si>
    <t>02-001;02-002</t>
  </si>
  <si>
    <t>01-001</t>
  </si>
  <si>
    <t>These are Bonus Pokie Credit Offers sent via mail to Crown Reward Members for varying amounts</t>
  </si>
  <si>
    <t>2. Mail Outs (Bonus Pokie Offer)</t>
  </si>
  <si>
    <t>Senior Pokie Credit Reward receive a bonus $3 at specific levels</t>
  </si>
  <si>
    <t>01-001;01-002;01-003</t>
  </si>
  <si>
    <t>Based on Pokie Points earned on a Gaming Machine during a patron’s last visit, will determine the patron’s reward value</t>
  </si>
  <si>
    <t>1. Pokie Credit Rewards (Welcome Back  / Free Credits Program)</t>
  </si>
  <si>
    <t>T&amp;Cs / Colateral - examples</t>
  </si>
  <si>
    <t>Associated Approval/s - examples</t>
  </si>
  <si>
    <t>Description &amp; Examples</t>
  </si>
  <si>
    <t>Item</t>
  </si>
  <si>
    <t xml:space="preserve">Bonus Jackpots </t>
  </si>
  <si>
    <t>WB</t>
  </si>
  <si>
    <t>FC</t>
  </si>
  <si>
    <t>Check</t>
  </si>
  <si>
    <t>check</t>
  </si>
  <si>
    <t>2012 to 2021</t>
  </si>
  <si>
    <t>Total tax</t>
  </si>
  <si>
    <t>Super tax</t>
  </si>
  <si>
    <t>Gaming tax</t>
  </si>
  <si>
    <t>Total 2012 TO 2021</t>
  </si>
  <si>
    <t>All above % is from FY2012</t>
  </si>
  <si>
    <t>c. 9.1% is used for Super Tax calculation</t>
  </si>
  <si>
    <t xml:space="preserve">b. 4.2% of Bonus Jackpots is from program play </t>
  </si>
  <si>
    <t>a. Prgram Revenue  is 2.5% of total revenue</t>
  </si>
  <si>
    <t>7. Before FY2012 there are a few assumptions for tax calculation due to the lack of available data</t>
  </si>
  <si>
    <t xml:space="preserve">     revised marginal rate.</t>
  </si>
  <si>
    <t>6. Super Tax is calculated by reference to the total taxable revenue in the particular year then adding the total bonusing amount and calculating the difference in tax payable at the</t>
  </si>
  <si>
    <t xml:space="preserve">     Eg. 2012 tax rate of 27.41% for non-program revenue and 10% for program play revenue, 2013 29.13% for non-program play and 10% for program play, etc</t>
  </si>
  <si>
    <t>5. Gaming tax impact on total bonusing is calculated using the prevailing rate (and any associated levys) for the applicable financial year</t>
  </si>
  <si>
    <t>4. Net Revenue above is $0.5m or 0.012% higher than the total of the GGR submissions across the period</t>
  </si>
  <si>
    <t xml:space="preserve">    data there may be minor discrepancies within the Welcome Back and Matchplay and others split and the total bonusing to GGR.</t>
  </si>
  <si>
    <t xml:space="preserve">3. All efforts have been undertaken to provide an accurate split of the types of bonus jackpots included however due to the time period reviewed and the unavailability of historic </t>
  </si>
  <si>
    <t>2. Where DACOM information is not available extracts have been taken from Crown's Corporate Data Warehouse</t>
  </si>
  <si>
    <t xml:space="preserve">     roll-back to a version of DACOM that can read the format.</t>
  </si>
  <si>
    <t xml:space="preserve">     in order to maintain the speed of the reporting database.  Archives are stored offsite and can be restored but Crown would require 2+ weeks to upload the data and </t>
  </si>
  <si>
    <t>1. Where possible numbers have been prepared based on data extracted from DACOM and saved on Crown's server.  DACOM data is archived after approximately 12 months</t>
  </si>
  <si>
    <t>NOTES:</t>
  </si>
  <si>
    <t>Total 2005 TO 2011</t>
  </si>
  <si>
    <t>ST Rate</t>
  </si>
  <si>
    <t>Tax rate</t>
  </si>
  <si>
    <t>Rewards Tax incl. Super Tax</t>
  </si>
  <si>
    <t>Super Tax on Rewards</t>
  </si>
  <si>
    <t>Total Including Super Tax</t>
  </si>
  <si>
    <t>Super Tax</t>
  </si>
  <si>
    <t>Total Bonusing (Gaming Tax)</t>
  </si>
  <si>
    <t>GGR 6  -  ELECTRONIC GAMING MACHINES ANNUAL TAXABLE REVENUE</t>
  </si>
  <si>
    <t>GGR6 vs CDW</t>
  </si>
  <si>
    <t>Revenue Audit's GGR6 Total  per Super Tax Report</t>
  </si>
  <si>
    <t>CDW</t>
  </si>
  <si>
    <t>FY21   1 July 2020 to 31 May 2021</t>
  </si>
  <si>
    <t>FY20  1 July 2019 to 30 June 2020</t>
  </si>
  <si>
    <t>FY19  1 July 2018  to  30 June 2019</t>
  </si>
  <si>
    <t>FY18  1 July 2017  to  30 June 2018</t>
  </si>
  <si>
    <t>FY17  1 July 2016  to  30 June 2017</t>
  </si>
  <si>
    <t>FY16  1 July 2015  to  30 June 2016</t>
  </si>
  <si>
    <t>FY15  1 July 2014  to  30 June 2015</t>
  </si>
  <si>
    <t>FY14  1 July 2013  to  30 June 2014</t>
  </si>
  <si>
    <t>FY13  1 July 2012  to  30 June 2013</t>
  </si>
  <si>
    <t>FY12  1 July 2011  to  30 June 2012</t>
  </si>
  <si>
    <t>Fiscal Year</t>
  </si>
  <si>
    <t>Random Riches</t>
  </si>
  <si>
    <t>Promotion Tickets</t>
  </si>
  <si>
    <t>GGR</t>
  </si>
  <si>
    <t>Variance</t>
  </si>
  <si>
    <t>EGM Daily Cube</t>
  </si>
  <si>
    <t>Dining/F&amp;B</t>
  </si>
  <si>
    <t>Hotel</t>
  </si>
  <si>
    <t>Parking</t>
  </si>
  <si>
    <t>Variance under investigation</t>
  </si>
  <si>
    <t>Rewards Dining</t>
  </si>
  <si>
    <t>Rewards Hotels</t>
  </si>
  <si>
    <t>Rewards Parking</t>
  </si>
  <si>
    <t>9. Unexplained - Under Investigation</t>
  </si>
  <si>
    <t>8. Bonus Jackpots (breakdown below)</t>
  </si>
  <si>
    <t xml:space="preserve">     Archives are stored offsite and can be restored but Crown would require 2+ weeks to upload the data and roll-back to a version of DACOM that can read the format.</t>
  </si>
  <si>
    <t>1. All information is extracted from Crown's Corporate Data Warehouse (CDW) which is fed via extracts from DACOM.</t>
  </si>
  <si>
    <t xml:space="preserve">    data there is an unexplained variance between the detailed split and the amounts used in the GGR calculation of circa $2.1m.</t>
  </si>
  <si>
    <t xml:space="preserve">    The bonus jackpots amount used in the GGR calculation is extracted from DACOM metered machine revenue at the time the GGR return is prepared.  The detailed breakdown of the bonus jackpots provided below</t>
  </si>
  <si>
    <t>7. Before FY2012 the below assumptions for tax calculation due to the lack of available data</t>
  </si>
  <si>
    <t xml:space="preserve">     The CDW was used as DACOM is regularly archived in order to maintain the optimal performance of the database and therefore did not have the detail required accessible in the delivery time frame.  </t>
  </si>
  <si>
    <t xml:space="preserve">    is prepared based on "bonus jackpot events" recorded in DACOM.  These two elements can differ if for example a machine meter recognises a bonus but a customer removes their card before DACOM can apply the event to their account or a card read fails.</t>
  </si>
  <si>
    <t xml:space="preserve">    Crown does not have access to the data from DACOM to explain the $2.1m variance at this time and further investigation would be required.  For completeness the unexplained amount has been included in the total bonus jackpots amount above and in the detail below.</t>
  </si>
  <si>
    <t xml:space="preserve">2. All efforts have been undertaken to provide an accurate split of the types of bonus jackpots included however due to the time period reviewed and the unavailability of live, accessible historic </t>
  </si>
  <si>
    <t>3. Net Revenue above (extracted from CDW) is $0.4m or 0.009% higher than the total of the GGR submissions across the period</t>
  </si>
  <si>
    <t>4. The indicative gaming tax impact on total bonusing is calculated using the prevailing rate (and any associated levys) for the applicable financial year</t>
  </si>
  <si>
    <t>5. Super Tax is calculated by referring to the total super taxable revenue recorded in the applicable year and then adding the total bonusing amount above and calculating the difference in tax payable at the revised marginal rates.  This difference is then applied across the bonus categories.</t>
  </si>
  <si>
    <t>6. Financial year 2021 data is to 31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</si>
</sst>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quot;$&quot;#,##0_);[Red]\(&quot;$&quot;#,##0\)"/>
    <numFmt numFmtId="165" formatCode="&quot;$&quot;#,##0.00_);[Red]\(&quot;$&quot;#,##0.00\)"/>
    <numFmt numFmtId="166" formatCode="_(* #,##0.00_);_(* \(#,##0.00\);_(* &quot;-&quot;??_);_(@_)"/>
    <numFmt numFmtId="167" formatCode="_-* #,##0_-;\-* #,##0_-;_-* &quot;-&quot;??_-;_-@_-"/>
    <numFmt numFmtId="168" formatCode="#0"/>
    <numFmt numFmtId="169" formatCode="[$$-C09]#,##0.00"/>
    <numFmt numFmtId="170" formatCode="_(* #,##0_);_(* \(#,##0\);_(* &quot;-&quot;??_);_(@_)"/>
    <numFmt numFmtId="171" formatCode="dd/mm/yyyy"/>
    <numFmt numFmtId="172" formatCode="&quot;$&quot;#,##0.00;[Red]&quot;$&quot;#,##0.00"/>
    <numFmt numFmtId="173" formatCode="0.0%"/>
    <numFmt numFmtId="174" formatCode="&quot;$&quot;#,##0"/>
    <numFmt numFmtId="175" formatCode="&quot;$&quot;#,##0;[Red]&quot;$&quot;#,##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rgb="FF332B04"/>
      <name val="Tahoma"/>
      <family val="2"/>
    </font>
    <font>
      <sz val="8"/>
      <color rgb="FF000000"/>
      <name val="Tahoma"/>
      <family val="2"/>
    </font>
    <font>
      <b/>
      <sz val="8"/>
      <color theme="0"/>
      <name val="Tahoma"/>
      <family val="2"/>
    </font>
    <font>
      <b/>
      <sz val="8"/>
      <color rgb="FF000000"/>
      <name val="Tahoma"/>
      <family val="2"/>
    </font>
    <font>
      <b/>
      <sz val="11"/>
      <color theme="1"/>
      <name val="Calibri"/>
      <family val="2"/>
      <scheme val="minor"/>
    </font>
    <font>
      <sz val="18"/>
      <color theme="3"/>
      <name val="Cambria"/>
      <family val="2"/>
      <scheme val="major"/>
    </font>
    <font>
      <sz val="11"/>
      <name val="Calibri"/>
      <family val="2"/>
      <scheme val="minor"/>
    </font>
    <font>
      <b/>
      <sz val="11"/>
      <name val="Calibri"/>
      <family val="2"/>
      <scheme val="minor"/>
    </font>
    <font>
      <sz val="10"/>
      <color theme="1"/>
      <name val="Tahoma"/>
      <family val="2"/>
    </font>
    <font>
      <b/>
      <sz val="10"/>
      <color theme="1"/>
      <name val="Tahoma"/>
      <family val="2"/>
    </font>
    <font>
      <b/>
      <u/>
      <sz val="14"/>
      <color rgb="FF332B04"/>
      <name val="Tahoma"/>
      <family val="2"/>
    </font>
    <font>
      <sz val="8"/>
      <color rgb="FF332B04"/>
      <name val="Tahoma"/>
      <family val="2"/>
    </font>
    <font>
      <sz val="8"/>
      <color theme="1"/>
      <name val="Tahoma"/>
      <family val="2"/>
    </font>
    <font>
      <sz val="10"/>
      <color rgb="FF332B04"/>
      <name val="Tahoma"/>
      <family val="2"/>
    </font>
    <font>
      <b/>
      <sz val="8"/>
      <name val="Tahoma"/>
      <family val="2"/>
    </font>
    <font>
      <b/>
      <sz val="11"/>
      <color theme="0" tint="-0.499984740745262"/>
      <name val="Calibri"/>
      <family val="2"/>
      <scheme val="minor"/>
    </font>
    <font>
      <sz val="11"/>
      <color theme="0" tint="-0.499984740745262"/>
      <name val="Calibri"/>
      <family val="2"/>
      <scheme val="minor"/>
    </font>
    <font>
      <sz val="11"/>
      <color rgb="FF000000"/>
      <name val="Calibri"/>
      <family val="2"/>
      <scheme val="minor"/>
    </font>
    <font>
      <b/>
      <sz val="11"/>
      <color rgb="FF000000"/>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8"/>
      <color rgb="FF332B04"/>
      <name val="Arial"/>
      <family val="2"/>
    </font>
    <font>
      <sz val="8"/>
      <color theme="1"/>
      <name val="Arial"/>
      <family val="2"/>
    </font>
    <font>
      <b/>
      <sz val="8"/>
      <color theme="1"/>
      <name val="Arial"/>
      <family val="2"/>
    </font>
    <font>
      <b/>
      <sz val="8"/>
      <color rgb="FFFF0000"/>
      <name val="Tahoma"/>
      <family val="2"/>
    </font>
    <font>
      <b/>
      <sz val="8"/>
      <color theme="1"/>
      <name val="Tahoma"/>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rgb="FFE2DDCC"/>
        <bgColor indexed="64"/>
      </patternFill>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E2DDCC"/>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rgb="FFCCCCFF"/>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332B04"/>
      </left>
      <right style="medium">
        <color rgb="FF332B04"/>
      </right>
      <top style="medium">
        <color rgb="FF332B04"/>
      </top>
      <bottom style="medium">
        <color rgb="FF332B04"/>
      </bottom>
      <diagonal/>
    </border>
    <border>
      <left/>
      <right style="medium">
        <color rgb="FF332B04"/>
      </right>
      <top style="medium">
        <color rgb="FF332B04"/>
      </top>
      <bottom style="medium">
        <color rgb="FF332B04"/>
      </bottom>
      <diagonal/>
    </border>
    <border>
      <left style="medium">
        <color rgb="FF332B04"/>
      </left>
      <right style="medium">
        <color rgb="FF332B04"/>
      </right>
      <top/>
      <bottom style="medium">
        <color rgb="FF332B04"/>
      </bottom>
      <diagonal/>
    </border>
    <border>
      <left/>
      <right style="medium">
        <color rgb="FF332B04"/>
      </right>
      <top/>
      <bottom style="medium">
        <color rgb="FF332B0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704F2E"/>
      </left>
      <right style="medium">
        <color rgb="FF704F2E"/>
      </right>
      <top style="medium">
        <color rgb="FF704F2E"/>
      </top>
      <bottom style="medium">
        <color rgb="FF704F2E"/>
      </bottom>
      <diagonal/>
    </border>
    <border>
      <left/>
      <right style="medium">
        <color rgb="FF704F2E"/>
      </right>
      <top style="medium">
        <color rgb="FF704F2E"/>
      </top>
      <bottom style="medium">
        <color rgb="FF704F2E"/>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332B04"/>
      </right>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bottom style="thick">
        <color auto="1"/>
      </bottom>
      <diagonal/>
    </border>
    <border>
      <left/>
      <right style="thick">
        <color auto="1"/>
      </right>
      <top/>
      <bottom/>
      <diagonal/>
    </border>
    <border>
      <left style="thick">
        <color auto="1"/>
      </left>
      <right style="thick">
        <color auto="1"/>
      </right>
      <top/>
      <bottom/>
      <diagonal/>
    </border>
    <border>
      <left/>
      <right style="thick">
        <color auto="1"/>
      </right>
      <top style="thick">
        <color auto="1"/>
      </top>
      <bottom/>
      <diagonal/>
    </border>
    <border>
      <left/>
      <right/>
      <top style="thick">
        <color auto="1"/>
      </top>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top/>
      <bottom/>
      <diagonal/>
    </border>
    <border>
      <left style="thick">
        <color auto="1"/>
      </left>
      <right/>
      <top style="thick">
        <color auto="1"/>
      </top>
      <bottom/>
      <diagonal/>
    </border>
    <border>
      <left/>
      <right/>
      <top style="thin">
        <color rgb="FF505050"/>
      </top>
      <bottom style="medium">
        <color rgb="FF505050"/>
      </bottom>
      <diagonal/>
    </border>
    <border>
      <left/>
      <right/>
      <top style="thin">
        <color rgb="FF505050"/>
      </top>
      <bottom style="thin">
        <color rgb="FF505050"/>
      </bottom>
      <diagonal/>
    </border>
    <border>
      <left/>
      <right/>
      <top style="thin">
        <color rgb="FF505050"/>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332B04"/>
      </bottom>
      <diagonal/>
    </border>
    <border>
      <left style="medium">
        <color indexed="64"/>
      </left>
      <right style="medium">
        <color indexed="64"/>
      </right>
      <top style="medium">
        <color indexed="64"/>
      </top>
      <bottom style="medium">
        <color rgb="FF332B04"/>
      </bottom>
      <diagonal/>
    </border>
    <border>
      <left/>
      <right style="medium">
        <color indexed="64"/>
      </right>
      <top/>
      <bottom style="medium">
        <color rgb="FF332B04"/>
      </bottom>
      <diagonal/>
    </border>
    <border>
      <left style="medium">
        <color indexed="64"/>
      </left>
      <right style="medium">
        <color rgb="FF332B04"/>
      </right>
      <top/>
      <bottom style="medium">
        <color rgb="FF332B04"/>
      </bottom>
      <diagonal/>
    </border>
    <border>
      <left/>
      <right style="medium">
        <color indexed="64"/>
      </right>
      <top style="medium">
        <color indexed="64"/>
      </top>
      <bottom style="medium">
        <color rgb="FF332B04"/>
      </bottom>
      <diagonal/>
    </border>
    <border>
      <left/>
      <right style="medium">
        <color rgb="FF332B04"/>
      </right>
      <top style="medium">
        <color indexed="64"/>
      </top>
      <bottom style="medium">
        <color rgb="FF332B04"/>
      </bottom>
      <diagonal/>
    </border>
    <border>
      <left style="medium">
        <color indexed="64"/>
      </left>
      <right style="medium">
        <color rgb="FF332B04"/>
      </right>
      <top style="medium">
        <color indexed="64"/>
      </top>
      <bottom style="medium">
        <color rgb="FF332B0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auto="1"/>
      </bottom>
      <diagonal/>
    </border>
    <border>
      <left/>
      <right style="medium">
        <color indexed="64"/>
      </right>
      <top/>
      <bottom style="thick">
        <color auto="1"/>
      </bottom>
      <diagonal/>
    </border>
    <border>
      <left style="medium">
        <color indexed="64"/>
      </left>
      <right style="thick">
        <color auto="1"/>
      </right>
      <top style="thick">
        <color auto="1"/>
      </top>
      <bottom/>
      <diagonal/>
    </border>
    <border>
      <left/>
      <right style="medium">
        <color indexed="64"/>
      </right>
      <top style="thick">
        <color auto="1"/>
      </top>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6" fontId="1" fillId="0" borderId="0" applyFont="0" applyFill="0" applyBorder="0" applyAlignment="0" applyProtection="0"/>
    <xf numFmtId="0" fontId="23" fillId="0" borderId="0" applyNumberFormat="0" applyFill="0" applyBorder="0" applyAlignment="0" applyProtection="0"/>
    <xf numFmtId="0" fontId="26" fillId="0" borderId="0"/>
    <xf numFmtId="9"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cellStyleXfs>
  <cellXfs count="349">
    <xf numFmtId="0" fontId="0" fillId="0" borderId="0" xfId="0"/>
    <xf numFmtId="166" fontId="0" fillId="0" borderId="0" xfId="42" applyFont="1"/>
    <xf numFmtId="166" fontId="0" fillId="0" borderId="0" xfId="0" applyNumberFormat="1"/>
    <xf numFmtId="0" fontId="8" fillId="4" borderId="0" xfId="8"/>
    <xf numFmtId="0" fontId="13" fillId="33" borderId="0" xfId="0" applyFont="1" applyFill="1"/>
    <xf numFmtId="166" fontId="13" fillId="33" borderId="0" xfId="42" applyFont="1" applyFill="1"/>
    <xf numFmtId="0" fontId="0" fillId="0" borderId="10" xfId="0" applyBorder="1"/>
    <xf numFmtId="166" fontId="0" fillId="0" borderId="11" xfId="42" applyFont="1" applyBorder="1"/>
    <xf numFmtId="167" fontId="17" fillId="35" borderId="0" xfId="42" applyNumberFormat="1" applyFont="1" applyFill="1"/>
    <xf numFmtId="0" fontId="16" fillId="0" borderId="16" xfId="0" applyFont="1" applyBorder="1"/>
    <xf numFmtId="167" fontId="16" fillId="0" borderId="16" xfId="42" applyNumberFormat="1" applyFont="1" applyBorder="1"/>
    <xf numFmtId="0" fontId="0" fillId="36" borderId="16" xfId="0" applyFill="1" applyBorder="1"/>
    <xf numFmtId="17" fontId="0" fillId="36" borderId="16" xfId="0" applyNumberFormat="1" applyFill="1" applyBorder="1"/>
    <xf numFmtId="167" fontId="0" fillId="37" borderId="16" xfId="42" applyNumberFormat="1" applyFont="1" applyFill="1" applyBorder="1"/>
    <xf numFmtId="167" fontId="0" fillId="36" borderId="16" xfId="42" applyNumberFormat="1" applyFont="1" applyFill="1" applyBorder="1"/>
    <xf numFmtId="0" fontId="0" fillId="0" borderId="16" xfId="0" applyBorder="1" applyAlignment="1">
      <alignment vertical="center"/>
    </xf>
    <xf numFmtId="17" fontId="0" fillId="0" borderId="16" xfId="0" applyNumberFormat="1" applyBorder="1"/>
    <xf numFmtId="167" fontId="0" fillId="0" borderId="16" xfId="42" applyNumberFormat="1" applyFont="1" applyBorder="1"/>
    <xf numFmtId="167" fontId="0" fillId="0" borderId="0" xfId="42" applyNumberFormat="1" applyFont="1"/>
    <xf numFmtId="0" fontId="0" fillId="0" borderId="0" xfId="0" pivotButton="1"/>
    <xf numFmtId="0" fontId="0" fillId="0" borderId="0" xfId="0" applyAlignment="1">
      <alignment horizontal="left"/>
    </xf>
    <xf numFmtId="0" fontId="0" fillId="0" borderId="0" xfId="0" applyNumberFormat="1"/>
    <xf numFmtId="0" fontId="18" fillId="34" borderId="12"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20" fillId="38" borderId="13" xfId="0" applyFont="1" applyFill="1" applyBorder="1" applyAlignment="1">
      <alignment horizontal="center" vertical="center" wrapText="1"/>
    </xf>
    <xf numFmtId="0" fontId="0" fillId="0" borderId="0" xfId="0" applyAlignment="1">
      <alignment horizontal="center"/>
    </xf>
    <xf numFmtId="0" fontId="20" fillId="33" borderId="13" xfId="0" applyFont="1" applyFill="1" applyBorder="1" applyAlignment="1">
      <alignment horizontal="center" vertical="center"/>
    </xf>
    <xf numFmtId="164" fontId="19" fillId="0" borderId="15" xfId="0" applyNumberFormat="1" applyFont="1" applyBorder="1" applyAlignment="1">
      <alignment horizontal="right" vertical="center"/>
    </xf>
    <xf numFmtId="164" fontId="19" fillId="39" borderId="15" xfId="0" applyNumberFormat="1" applyFont="1" applyFill="1" applyBorder="1" applyAlignment="1">
      <alignment horizontal="right" vertical="center"/>
    </xf>
    <xf numFmtId="164" fontId="21" fillId="0" borderId="15" xfId="0" applyNumberFormat="1" applyFont="1" applyBorder="1" applyAlignment="1">
      <alignment horizontal="right" vertical="center"/>
    </xf>
    <xf numFmtId="167" fontId="16" fillId="0" borderId="0" xfId="42" applyNumberFormat="1" applyFont="1" applyBorder="1"/>
    <xf numFmtId="167" fontId="0" fillId="37" borderId="0" xfId="42" applyNumberFormat="1" applyFont="1" applyFill="1" applyBorder="1"/>
    <xf numFmtId="167" fontId="0" fillId="36" borderId="0" xfId="42" applyNumberFormat="1" applyFont="1" applyFill="1" applyBorder="1"/>
    <xf numFmtId="167" fontId="0" fillId="0" borderId="0" xfId="42" applyNumberFormat="1" applyFont="1" applyBorder="1"/>
    <xf numFmtId="167" fontId="17" fillId="0" borderId="0" xfId="42" applyNumberFormat="1" applyFont="1" applyFill="1"/>
    <xf numFmtId="167" fontId="16" fillId="0" borderId="0" xfId="42" applyNumberFormat="1" applyFont="1" applyFill="1" applyBorder="1"/>
    <xf numFmtId="167" fontId="0" fillId="0" borderId="0" xfId="42" applyNumberFormat="1" applyFont="1" applyFill="1" applyBorder="1"/>
    <xf numFmtId="167" fontId="0" fillId="0" borderId="0" xfId="42" applyNumberFormat="1" applyFont="1" applyFill="1"/>
    <xf numFmtId="167" fontId="22" fillId="0" borderId="16" xfId="0" applyNumberFormat="1" applyFont="1" applyBorder="1"/>
    <xf numFmtId="167" fontId="0" fillId="37" borderId="16" xfId="0" applyNumberFormat="1" applyFill="1" applyBorder="1"/>
    <xf numFmtId="167" fontId="0" fillId="36" borderId="16" xfId="0" applyNumberFormat="1" applyFill="1" applyBorder="1"/>
    <xf numFmtId="167" fontId="0" fillId="0" borderId="16" xfId="0" applyNumberFormat="1" applyBorder="1"/>
    <xf numFmtId="167" fontId="22" fillId="0" borderId="17" xfId="0" applyNumberFormat="1" applyFont="1" applyBorder="1"/>
    <xf numFmtId="167" fontId="0" fillId="0" borderId="0" xfId="0" applyNumberFormat="1"/>
    <xf numFmtId="167" fontId="22" fillId="0" borderId="17" xfId="0" applyNumberFormat="1" applyFont="1" applyFill="1" applyBorder="1"/>
    <xf numFmtId="0" fontId="0" fillId="0" borderId="0" xfId="0" applyFill="1" applyBorder="1" applyAlignment="1">
      <alignment vertical="center"/>
    </xf>
    <xf numFmtId="0" fontId="17" fillId="35" borderId="0" xfId="0" applyFont="1" applyFill="1" applyBorder="1"/>
    <xf numFmtId="0" fontId="0" fillId="36" borderId="0" xfId="0" applyFill="1" applyBorder="1"/>
    <xf numFmtId="0" fontId="0" fillId="0" borderId="0" xfId="0" applyBorder="1" applyAlignment="1">
      <alignment vertical="center"/>
    </xf>
    <xf numFmtId="167" fontId="17" fillId="35" borderId="0" xfId="42" applyNumberFormat="1" applyFont="1" applyFill="1" applyBorder="1"/>
    <xf numFmtId="0" fontId="22" fillId="0" borderId="0" xfId="0" applyFont="1" applyBorder="1"/>
    <xf numFmtId="0" fontId="17" fillId="0" borderId="0" xfId="0" applyFont="1" applyFill="1" applyBorder="1"/>
    <xf numFmtId="17" fontId="0" fillId="0" borderId="0" xfId="0" applyNumberFormat="1" applyBorder="1"/>
    <xf numFmtId="167" fontId="17" fillId="0" borderId="0" xfId="42" applyNumberFormat="1" applyFont="1" applyFill="1" applyBorder="1"/>
    <xf numFmtId="0" fontId="0" fillId="0" borderId="0" xfId="0" applyBorder="1"/>
    <xf numFmtId="0" fontId="0" fillId="0" borderId="0" xfId="0"/>
    <xf numFmtId="0" fontId="0" fillId="0" borderId="0" xfId="0" applyFill="1"/>
    <xf numFmtId="17" fontId="0" fillId="36" borderId="0" xfId="0" applyNumberFormat="1" applyFill="1" applyBorder="1"/>
    <xf numFmtId="14" fontId="25" fillId="0" borderId="0" xfId="0" applyNumberFormat="1" applyFont="1" applyFill="1" applyBorder="1"/>
    <xf numFmtId="0" fontId="24" fillId="0" borderId="0" xfId="0" applyFont="1" applyFill="1" applyBorder="1"/>
    <xf numFmtId="14" fontId="24" fillId="0" borderId="0" xfId="0" applyNumberFormat="1" applyFont="1" applyFill="1" applyBorder="1"/>
    <xf numFmtId="166" fontId="25" fillId="0" borderId="0" xfId="0" applyNumberFormat="1" applyFont="1" applyFill="1" applyBorder="1"/>
    <xf numFmtId="4" fontId="24" fillId="0" borderId="0" xfId="0" applyNumberFormat="1" applyFont="1" applyFill="1" applyBorder="1"/>
    <xf numFmtId="0" fontId="25" fillId="0" borderId="0" xfId="0" applyFont="1" applyFill="1" applyBorder="1"/>
    <xf numFmtId="166" fontId="0" fillId="0" borderId="0" xfId="0" applyNumberFormat="1"/>
    <xf numFmtId="17" fontId="0" fillId="0" borderId="0" xfId="0" applyNumberFormat="1" applyFill="1" applyBorder="1"/>
    <xf numFmtId="167" fontId="0" fillId="0" borderId="0" xfId="0" applyNumberFormat="1" applyBorder="1"/>
    <xf numFmtId="167" fontId="0" fillId="36" borderId="0" xfId="0" applyNumberFormat="1" applyFill="1"/>
    <xf numFmtId="166" fontId="24" fillId="0" borderId="0" xfId="0" applyNumberFormat="1" applyFont="1" applyFill="1" applyBorder="1"/>
    <xf numFmtId="167" fontId="0" fillId="0" borderId="0" xfId="0" applyNumberFormat="1" applyFont="1" applyFill="1"/>
    <xf numFmtId="167" fontId="17" fillId="35" borderId="0" xfId="0" applyNumberFormat="1" applyFont="1" applyFill="1"/>
    <xf numFmtId="167" fontId="17" fillId="0" borderId="0" xfId="0" applyNumberFormat="1" applyFont="1" applyFill="1"/>
    <xf numFmtId="0" fontId="16" fillId="0" borderId="0" xfId="0" applyNumberFormat="1" applyFont="1" applyAlignment="1">
      <alignment vertical="center" wrapText="1"/>
    </xf>
    <xf numFmtId="167" fontId="0" fillId="37" borderId="0" xfId="0" applyNumberFormat="1" applyFont="1" applyFill="1"/>
    <xf numFmtId="167" fontId="0" fillId="36" borderId="0" xfId="0" applyNumberFormat="1" applyFont="1" applyFill="1"/>
    <xf numFmtId="166" fontId="0" fillId="0" borderId="0" xfId="0" applyNumberFormat="1" applyFont="1" applyFill="1"/>
    <xf numFmtId="166" fontId="0" fillId="0" borderId="18" xfId="0" applyNumberFormat="1" applyFont="1" applyFill="1" applyBorder="1"/>
    <xf numFmtId="0" fontId="0" fillId="0" borderId="0" xfId="0" applyAlignment="1">
      <alignment vertical="center"/>
    </xf>
    <xf numFmtId="0" fontId="27" fillId="0" borderId="0" xfId="44" applyFont="1" applyFill="1" applyBorder="1"/>
    <xf numFmtId="168" fontId="26" fillId="0" borderId="0" xfId="44" applyNumberFormat="1" applyFill="1" applyBorder="1" applyAlignment="1">
      <alignment horizontal="left"/>
    </xf>
    <xf numFmtId="166" fontId="26" fillId="0" borderId="0" xfId="44" applyNumberFormat="1" applyFill="1" applyBorder="1"/>
    <xf numFmtId="0" fontId="22" fillId="0" borderId="0" xfId="0" applyFont="1" applyFill="1" applyBorder="1"/>
    <xf numFmtId="0" fontId="26" fillId="0" borderId="0" xfId="44" applyFill="1" applyBorder="1"/>
    <xf numFmtId="166" fontId="0" fillId="0" borderId="0" xfId="42" applyNumberFormat="1" applyFont="1" applyFill="1" applyBorder="1"/>
    <xf numFmtId="169" fontId="17" fillId="17" borderId="12" xfId="26" applyNumberFormat="1" applyBorder="1" applyAlignment="1">
      <alignment horizontal="right" vertical="top"/>
    </xf>
    <xf numFmtId="166" fontId="17" fillId="21" borderId="0" xfId="30" applyNumberFormat="1"/>
    <xf numFmtId="166" fontId="17" fillId="24" borderId="0" xfId="33" applyNumberFormat="1"/>
    <xf numFmtId="166" fontId="17" fillId="17" borderId="0" xfId="26" applyNumberFormat="1"/>
    <xf numFmtId="166" fontId="17" fillId="28" borderId="0" xfId="37" applyNumberFormat="1"/>
    <xf numFmtId="0" fontId="18" fillId="40" borderId="12" xfId="0" applyFont="1" applyFill="1" applyBorder="1" applyAlignment="1">
      <alignment horizontal="center" vertical="top"/>
    </xf>
    <xf numFmtId="168" fontId="30" fillId="0" borderId="12" xfId="0" applyNumberFormat="1" applyFont="1" applyBorder="1" applyAlignment="1">
      <alignment vertical="top"/>
    </xf>
    <xf numFmtId="0" fontId="30" fillId="0" borderId="12" xfId="0" applyFont="1" applyBorder="1" applyAlignment="1">
      <alignment vertical="top"/>
    </xf>
    <xf numFmtId="169" fontId="30" fillId="0" borderId="12" xfId="0" applyNumberFormat="1" applyFont="1" applyBorder="1" applyAlignment="1">
      <alignment horizontal="right" vertical="top"/>
    </xf>
    <xf numFmtId="169" fontId="18" fillId="40" borderId="19" xfId="0" applyNumberFormat="1" applyFont="1" applyFill="1" applyBorder="1" applyAlignment="1">
      <alignment horizontal="right" vertical="top"/>
    </xf>
    <xf numFmtId="164" fontId="19" fillId="41" borderId="15" xfId="0" applyNumberFormat="1" applyFont="1" applyFill="1" applyBorder="1" applyAlignment="1">
      <alignment horizontal="right" vertical="center"/>
    </xf>
    <xf numFmtId="164" fontId="21" fillId="41" borderId="15" xfId="0" applyNumberFormat="1" applyFont="1" applyFill="1" applyBorder="1" applyAlignment="1">
      <alignment horizontal="right" vertical="center"/>
    </xf>
    <xf numFmtId="164" fontId="0" fillId="0" borderId="0" xfId="0" applyNumberFormat="1"/>
    <xf numFmtId="0" fontId="0" fillId="0" borderId="0" xfId="42" applyNumberFormat="1" applyFont="1" applyFill="1" applyBorder="1"/>
    <xf numFmtId="0" fontId="19" fillId="41" borderId="15" xfId="0" applyFont="1" applyFill="1" applyBorder="1" applyAlignment="1">
      <alignment horizontal="right" vertical="center"/>
    </xf>
    <xf numFmtId="0" fontId="19" fillId="0" borderId="15" xfId="0" applyFont="1" applyBorder="1" applyAlignment="1">
      <alignment horizontal="right" vertical="center"/>
    </xf>
    <xf numFmtId="0" fontId="0" fillId="0" borderId="0" xfId="0"/>
    <xf numFmtId="17" fontId="17" fillId="33" borderId="0" xfId="0" applyNumberFormat="1" applyFont="1" applyFill="1" applyBorder="1"/>
    <xf numFmtId="167" fontId="17" fillId="33" borderId="0" xfId="42" applyNumberFormat="1" applyFont="1" applyFill="1" applyBorder="1"/>
    <xf numFmtId="167" fontId="17" fillId="33" borderId="0" xfId="0" applyNumberFormat="1" applyFont="1" applyFill="1"/>
    <xf numFmtId="0" fontId="0" fillId="0" borderId="0" xfId="0"/>
    <xf numFmtId="168" fontId="0" fillId="0" borderId="0" xfId="0" applyNumberFormat="1" applyAlignment="1">
      <alignment horizontal="left"/>
    </xf>
    <xf numFmtId="170" fontId="0" fillId="0" borderId="0" xfId="42" applyNumberFormat="1" applyFont="1"/>
    <xf numFmtId="170" fontId="0" fillId="0" borderId="0" xfId="0" applyNumberFormat="1"/>
    <xf numFmtId="0" fontId="32" fillId="41" borderId="0" xfId="0" applyFont="1" applyFill="1" applyBorder="1" applyAlignment="1">
      <alignment horizontal="center" vertical="center" wrapText="1"/>
    </xf>
    <xf numFmtId="0" fontId="20" fillId="42" borderId="24" xfId="0" applyFont="1" applyFill="1" applyBorder="1" applyAlignment="1">
      <alignment horizontal="center" vertical="center" wrapText="1"/>
    </xf>
    <xf numFmtId="0" fontId="0" fillId="0" borderId="0" xfId="0"/>
    <xf numFmtId="0" fontId="0" fillId="0" borderId="0" xfId="0"/>
    <xf numFmtId="0" fontId="26" fillId="0" borderId="0" xfId="44"/>
    <xf numFmtId="19" fontId="31" fillId="0" borderId="0" xfId="44" applyNumberFormat="1" applyFont="1" applyAlignment="1">
      <alignment horizontal="right" vertical="top"/>
    </xf>
    <xf numFmtId="0" fontId="31" fillId="0" borderId="0" xfId="44" applyFont="1" applyAlignment="1">
      <alignment horizontal="center" vertical="top"/>
    </xf>
    <xf numFmtId="169" fontId="18" fillId="40" borderId="19" xfId="44" applyNumberFormat="1" applyFont="1" applyFill="1" applyBorder="1" applyAlignment="1">
      <alignment horizontal="right" vertical="top"/>
    </xf>
    <xf numFmtId="0" fontId="18" fillId="40" borderId="19" xfId="44" applyFont="1" applyFill="1" applyBorder="1" applyAlignment="1">
      <alignment vertical="top"/>
    </xf>
    <xf numFmtId="169" fontId="30" fillId="0" borderId="12" xfId="44" applyNumberFormat="1" applyFont="1" applyBorder="1" applyAlignment="1">
      <alignment horizontal="right" vertical="top"/>
    </xf>
    <xf numFmtId="168" fontId="30" fillId="0" borderId="12" xfId="44" applyNumberFormat="1" applyFont="1" applyBorder="1" applyAlignment="1">
      <alignment vertical="top"/>
    </xf>
    <xf numFmtId="0" fontId="18" fillId="40" borderId="12" xfId="44" applyFont="1" applyFill="1" applyBorder="1" applyAlignment="1">
      <alignment horizontal="center" vertical="top"/>
    </xf>
    <xf numFmtId="169" fontId="26" fillId="0" borderId="0" xfId="44" applyNumberFormat="1"/>
    <xf numFmtId="0" fontId="0" fillId="0" borderId="0" xfId="0"/>
    <xf numFmtId="164" fontId="21" fillId="0" borderId="24" xfId="0" applyNumberFormat="1" applyFont="1" applyBorder="1" applyAlignment="1">
      <alignment horizontal="right" vertical="center"/>
    </xf>
    <xf numFmtId="0" fontId="18" fillId="34" borderId="15" xfId="0" applyFont="1" applyFill="1" applyBorder="1" applyAlignment="1">
      <alignment horizontal="center" vertical="center" wrapText="1"/>
    </xf>
    <xf numFmtId="164" fontId="21" fillId="0" borderId="25" xfId="0" applyNumberFormat="1" applyFont="1" applyBorder="1" applyAlignment="1">
      <alignment horizontal="right" vertical="center"/>
    </xf>
    <xf numFmtId="164" fontId="19" fillId="0" borderId="24" xfId="0" applyNumberFormat="1" applyFont="1" applyBorder="1" applyAlignment="1">
      <alignment horizontal="right" vertical="center"/>
    </xf>
    <xf numFmtId="0" fontId="33" fillId="0" borderId="26" xfId="0" applyFont="1" applyBorder="1" applyAlignment="1">
      <alignment horizontal="center"/>
    </xf>
    <xf numFmtId="0" fontId="0" fillId="0" borderId="0" xfId="0"/>
    <xf numFmtId="0" fontId="20" fillId="0" borderId="0" xfId="0" applyFont="1" applyFill="1" applyBorder="1" applyAlignment="1">
      <alignment horizontal="center" vertical="center" wrapText="1"/>
    </xf>
    <xf numFmtId="164" fontId="21" fillId="0" borderId="0" xfId="0" applyNumberFormat="1" applyFont="1" applyFill="1" applyBorder="1" applyAlignment="1">
      <alignment horizontal="right" vertical="center"/>
    </xf>
    <xf numFmtId="0" fontId="16" fillId="0" borderId="0" xfId="0" applyFont="1"/>
    <xf numFmtId="0" fontId="0" fillId="43" borderId="0" xfId="0" applyFill="1"/>
    <xf numFmtId="164" fontId="21" fillId="43" borderId="25" xfId="0" applyNumberFormat="1" applyFont="1" applyFill="1" applyBorder="1" applyAlignment="1">
      <alignment horizontal="right" vertical="center"/>
    </xf>
    <xf numFmtId="164" fontId="21" fillId="43" borderId="15" xfId="0" applyNumberFormat="1" applyFont="1" applyFill="1" applyBorder="1" applyAlignment="1">
      <alignment horizontal="right" vertical="center"/>
    </xf>
    <xf numFmtId="0" fontId="19" fillId="0" borderId="14" xfId="0" applyFont="1" applyBorder="1" applyAlignment="1">
      <alignment horizontal="center" vertical="center"/>
    </xf>
    <xf numFmtId="164" fontId="21" fillId="43" borderId="25" xfId="0" applyNumberFormat="1" applyFont="1" applyFill="1" applyBorder="1" applyAlignment="1">
      <alignment horizontal="center" vertical="center"/>
    </xf>
    <xf numFmtId="0" fontId="19" fillId="41" borderId="15" xfId="0" applyFont="1" applyFill="1" applyBorder="1" applyAlignment="1">
      <alignment horizontal="center" vertical="center"/>
    </xf>
    <xf numFmtId="0" fontId="19" fillId="0" borderId="15" xfId="0" applyFont="1" applyBorder="1" applyAlignment="1">
      <alignment horizontal="center" vertical="center"/>
    </xf>
    <xf numFmtId="164" fontId="21" fillId="0" borderId="25" xfId="0" applyNumberFormat="1" applyFont="1" applyFill="1" applyBorder="1" applyAlignment="1">
      <alignment horizontal="center" vertical="center"/>
    </xf>
    <xf numFmtId="0" fontId="16" fillId="0" borderId="0" xfId="0" applyFont="1" applyFill="1"/>
    <xf numFmtId="0" fontId="18" fillId="0" borderId="0" xfId="0" applyFont="1" applyFill="1" applyBorder="1" applyAlignment="1">
      <alignment horizontal="center" vertical="center" wrapText="1"/>
    </xf>
    <xf numFmtId="172" fontId="0" fillId="0" borderId="0" xfId="0" applyNumberFormat="1"/>
    <xf numFmtId="172" fontId="0" fillId="37" borderId="0" xfId="0" applyNumberFormat="1" applyFill="1"/>
    <xf numFmtId="172" fontId="0" fillId="44" borderId="0" xfId="0" applyNumberFormat="1" applyFill="1"/>
    <xf numFmtId="172" fontId="0" fillId="45" borderId="0" xfId="0" applyNumberFormat="1" applyFill="1"/>
    <xf numFmtId="172" fontId="0" fillId="46" borderId="0" xfId="0" applyNumberFormat="1" applyFill="1"/>
    <xf numFmtId="172" fontId="0" fillId="47" borderId="0" xfId="0" applyNumberFormat="1" applyFill="1"/>
    <xf numFmtId="172" fontId="0" fillId="48" borderId="0" xfId="0" applyNumberFormat="1" applyFill="1"/>
    <xf numFmtId="172" fontId="0" fillId="49" borderId="0" xfId="0" applyNumberFormat="1" applyFill="1"/>
    <xf numFmtId="0" fontId="0" fillId="0" borderId="0" xfId="0"/>
    <xf numFmtId="172" fontId="24" fillId="50" borderId="0" xfId="0" applyNumberFormat="1" applyFont="1" applyFill="1"/>
    <xf numFmtId="164" fontId="21" fillId="50" borderId="25" xfId="0" applyNumberFormat="1" applyFont="1" applyFill="1" applyBorder="1" applyAlignment="1">
      <alignment horizontal="right" vertical="center"/>
    </xf>
    <xf numFmtId="0" fontId="0" fillId="0" borderId="30" xfId="0" applyBorder="1"/>
    <xf numFmtId="0" fontId="0" fillId="0" borderId="31" xfId="0" applyBorder="1"/>
    <xf numFmtId="0" fontId="35" fillId="0" borderId="31" xfId="0" applyFont="1" applyBorder="1" applyAlignment="1">
      <alignment horizontal="left" vertical="center" indent="1"/>
    </xf>
    <xf numFmtId="0" fontId="0" fillId="0" borderId="32" xfId="0" applyBorder="1"/>
    <xf numFmtId="0" fontId="0" fillId="0" borderId="33" xfId="0" applyBorder="1"/>
    <xf numFmtId="0" fontId="35" fillId="0" borderId="0" xfId="0" applyFont="1" applyBorder="1" applyAlignment="1">
      <alignment horizontal="left" vertical="center" indent="1"/>
    </xf>
    <xf numFmtId="0" fontId="0" fillId="0" borderId="34" xfId="0" applyBorder="1"/>
    <xf numFmtId="0" fontId="35" fillId="0" borderId="0" xfId="0" applyFont="1" applyFill="1" applyBorder="1" applyAlignment="1">
      <alignment horizontal="left" vertical="center" indent="1"/>
    </xf>
    <xf numFmtId="0" fontId="35" fillId="0" borderId="0" xfId="0" applyFont="1" applyBorder="1" applyAlignment="1">
      <alignment vertical="center"/>
    </xf>
    <xf numFmtId="0" fontId="36" fillId="0" borderId="34" xfId="0" applyFont="1" applyBorder="1" applyAlignment="1">
      <alignment vertical="center"/>
    </xf>
    <xf numFmtId="0" fontId="16" fillId="0" borderId="34" xfId="0" applyFont="1" applyBorder="1" applyAlignment="1"/>
    <xf numFmtId="0" fontId="0" fillId="0" borderId="33" xfId="0" applyFill="1" applyBorder="1"/>
    <xf numFmtId="0" fontId="35" fillId="0" borderId="0" xfId="0" applyFont="1" applyBorder="1" applyAlignment="1">
      <alignment horizontal="left" vertical="center"/>
    </xf>
    <xf numFmtId="0" fontId="35" fillId="0" borderId="33" xfId="0" applyFont="1" applyBorder="1" applyAlignment="1">
      <alignment horizontal="left" vertical="center"/>
    </xf>
    <xf numFmtId="0" fontId="16" fillId="0" borderId="35" xfId="0" applyFont="1" applyBorder="1"/>
    <xf numFmtId="0" fontId="16" fillId="0" borderId="36" xfId="0" applyFont="1" applyBorder="1"/>
    <xf numFmtId="0" fontId="16" fillId="0" borderId="37" xfId="0" applyFont="1" applyBorder="1"/>
    <xf numFmtId="0" fontId="16" fillId="51" borderId="30" xfId="0" applyFont="1" applyFill="1" applyBorder="1" applyAlignment="1">
      <alignment horizontal="center"/>
    </xf>
    <xf numFmtId="0" fontId="16" fillId="51" borderId="31" xfId="0" applyFont="1" applyFill="1" applyBorder="1" applyAlignment="1">
      <alignment horizontal="center"/>
    </xf>
    <xf numFmtId="0" fontId="16" fillId="51" borderId="38" xfId="0" applyFont="1" applyFill="1" applyBorder="1" applyAlignment="1">
      <alignment horizontal="center"/>
    </xf>
    <xf numFmtId="0" fontId="0" fillId="51" borderId="33" xfId="0" applyFill="1" applyBorder="1"/>
    <xf numFmtId="0" fontId="0" fillId="51" borderId="0" xfId="0" applyFill="1" applyBorder="1"/>
    <xf numFmtId="0" fontId="0" fillId="51" borderId="39" xfId="0" applyFill="1" applyBorder="1"/>
    <xf numFmtId="0" fontId="0" fillId="51" borderId="35" xfId="0" applyFill="1" applyBorder="1"/>
    <xf numFmtId="0" fontId="0" fillId="51" borderId="36" xfId="0" applyFill="1" applyBorder="1"/>
    <xf numFmtId="0" fontId="16" fillId="51" borderId="40" xfId="0" applyFont="1" applyFill="1" applyBorder="1" applyAlignment="1">
      <alignment horizontal="center"/>
    </xf>
    <xf numFmtId="0" fontId="16" fillId="51" borderId="36" xfId="0" applyFont="1" applyFill="1" applyBorder="1" applyAlignment="1">
      <alignment horizontal="center"/>
    </xf>
    <xf numFmtId="0" fontId="36" fillId="0" borderId="0" xfId="0" applyFont="1" applyBorder="1" applyAlignment="1">
      <alignment vertical="center"/>
    </xf>
    <xf numFmtId="0" fontId="16" fillId="0" borderId="0" xfId="0" applyFont="1" applyBorder="1" applyAlignment="1"/>
    <xf numFmtId="166" fontId="16" fillId="0" borderId="0" xfId="42" applyFont="1" applyBorder="1" applyAlignment="1"/>
    <xf numFmtId="166" fontId="0" fillId="0" borderId="0" xfId="42" applyFont="1" applyBorder="1"/>
    <xf numFmtId="166" fontId="0" fillId="0" borderId="0" xfId="0" applyNumberFormat="1" applyBorder="1"/>
    <xf numFmtId="0" fontId="16" fillId="0" borderId="0" xfId="0" applyFont="1" applyBorder="1"/>
    <xf numFmtId="166" fontId="16" fillId="0" borderId="0" xfId="0" applyNumberFormat="1" applyFont="1" applyBorder="1"/>
    <xf numFmtId="166" fontId="0" fillId="53" borderId="0" xfId="42" applyFont="1" applyFill="1" applyAlignment="1">
      <alignment horizontal="right"/>
    </xf>
    <xf numFmtId="166" fontId="35" fillId="37" borderId="0" xfId="42" applyFont="1" applyFill="1" applyBorder="1" applyAlignment="1">
      <alignment vertical="center"/>
    </xf>
    <xf numFmtId="166" fontId="1" fillId="37" borderId="0" xfId="42" applyFont="1" applyFill="1" applyBorder="1" applyAlignment="1"/>
    <xf numFmtId="166" fontId="35" fillId="0" borderId="0" xfId="42" applyFont="1" applyBorder="1" applyAlignment="1">
      <alignment vertical="center"/>
    </xf>
    <xf numFmtId="166" fontId="35" fillId="52" borderId="0" xfId="42" applyFont="1" applyFill="1" applyBorder="1" applyAlignment="1">
      <alignment vertical="center"/>
    </xf>
    <xf numFmtId="166" fontId="1" fillId="0" borderId="0" xfId="42" applyFont="1" applyBorder="1" applyAlignment="1"/>
    <xf numFmtId="166" fontId="35" fillId="45" borderId="0" xfId="42" applyFont="1" applyFill="1" applyBorder="1" applyAlignment="1">
      <alignment vertical="center"/>
    </xf>
    <xf numFmtId="166" fontId="35" fillId="46" borderId="0" xfId="42" applyFont="1" applyFill="1" applyBorder="1" applyAlignment="1">
      <alignment vertical="center"/>
    </xf>
    <xf numFmtId="166" fontId="35" fillId="47" borderId="0" xfId="42" applyFont="1" applyFill="1" applyBorder="1" applyAlignment="1">
      <alignment vertical="center"/>
    </xf>
    <xf numFmtId="166" fontId="35" fillId="48" borderId="0" xfId="42" applyFont="1" applyFill="1" applyBorder="1" applyAlignment="1">
      <alignment vertical="center"/>
    </xf>
    <xf numFmtId="0" fontId="0" fillId="0" borderId="0" xfId="0"/>
    <xf numFmtId="165" fontId="0" fillId="0" borderId="0" xfId="0" applyNumberFormat="1"/>
    <xf numFmtId="164" fontId="16" fillId="37" borderId="41" xfId="0" applyNumberFormat="1" applyFont="1" applyFill="1" applyBorder="1"/>
    <xf numFmtId="164" fontId="16" fillId="0" borderId="42" xfId="0" applyNumberFormat="1" applyFont="1" applyBorder="1"/>
    <xf numFmtId="164" fontId="16" fillId="0" borderId="43" xfId="0" applyNumberFormat="1" applyFont="1" applyBorder="1"/>
    <xf numFmtId="164" fontId="21" fillId="0" borderId="25" xfId="0" applyNumberFormat="1" applyFont="1" applyFill="1" applyBorder="1" applyAlignment="1">
      <alignment horizontal="right" vertical="center"/>
    </xf>
    <xf numFmtId="0" fontId="16" fillId="0" borderId="44" xfId="0" applyFont="1" applyBorder="1"/>
    <xf numFmtId="0" fontId="18" fillId="34" borderId="14" xfId="0" applyFont="1" applyFill="1" applyBorder="1" applyAlignment="1">
      <alignment horizontal="center" vertical="center" wrapText="1"/>
    </xf>
    <xf numFmtId="0" fontId="16" fillId="43" borderId="44" xfId="0" applyFont="1" applyFill="1" applyBorder="1"/>
    <xf numFmtId="164" fontId="19" fillId="0" borderId="45" xfId="0" applyNumberFormat="1" applyFont="1" applyBorder="1" applyAlignment="1">
      <alignment horizontal="right" vertical="center"/>
    </xf>
    <xf numFmtId="164" fontId="19" fillId="37" borderId="15" xfId="0" applyNumberFormat="1" applyFont="1" applyFill="1" applyBorder="1" applyAlignment="1">
      <alignment horizontal="right" vertical="center"/>
    </xf>
    <xf numFmtId="164" fontId="19" fillId="41" borderId="45" xfId="0" applyNumberFormat="1" applyFont="1" applyFill="1" applyBorder="1" applyAlignment="1">
      <alignment horizontal="right" vertical="center"/>
    </xf>
    <xf numFmtId="0" fontId="18" fillId="34" borderId="46" xfId="0" applyFont="1" applyFill="1" applyBorder="1" applyAlignment="1">
      <alignment horizontal="center" vertical="center" wrapText="1"/>
    </xf>
    <xf numFmtId="164" fontId="21" fillId="0" borderId="0" xfId="0" applyNumberFormat="1" applyFont="1" applyFill="1" applyBorder="1" applyAlignment="1">
      <alignment horizontal="center" vertical="center"/>
    </xf>
    <xf numFmtId="0" fontId="0" fillId="0" borderId="0" xfId="0" applyFill="1" applyAlignment="1">
      <alignment horizontal="left" indent="2"/>
    </xf>
    <xf numFmtId="0" fontId="0" fillId="0" borderId="0" xfId="0" quotePrefix="1" applyFill="1" applyBorder="1" applyAlignment="1">
      <alignment horizontal="left" indent="2"/>
    </xf>
    <xf numFmtId="0" fontId="0" fillId="0" borderId="0" xfId="0" quotePrefix="1" applyFill="1"/>
    <xf numFmtId="0" fontId="0" fillId="0" borderId="0" xfId="0" applyFill="1" applyBorder="1"/>
    <xf numFmtId="170" fontId="0" fillId="0" borderId="0" xfId="0" applyNumberFormat="1" applyFill="1"/>
    <xf numFmtId="0" fontId="0" fillId="0" borderId="0" xfId="0" quotePrefix="1" applyFill="1" applyBorder="1"/>
    <xf numFmtId="0" fontId="37" fillId="0" borderId="0" xfId="0" applyFont="1" applyFill="1"/>
    <xf numFmtId="10" fontId="0" fillId="0" borderId="0" xfId="0" applyNumberFormat="1"/>
    <xf numFmtId="164" fontId="19" fillId="0" borderId="47" xfId="0" applyNumberFormat="1" applyFont="1" applyBorder="1" applyAlignment="1">
      <alignment horizontal="right" vertical="center"/>
    </xf>
    <xf numFmtId="172" fontId="19" fillId="0" borderId="15" xfId="0" applyNumberFormat="1" applyFont="1" applyBorder="1" applyAlignment="1">
      <alignment horizontal="right" vertical="center"/>
    </xf>
    <xf numFmtId="164" fontId="19" fillId="0" borderId="48" xfId="0" applyNumberFormat="1" applyFont="1" applyBorder="1" applyAlignment="1">
      <alignment horizontal="right" vertical="center"/>
    </xf>
    <xf numFmtId="173" fontId="0" fillId="0" borderId="0" xfId="45" applyNumberFormat="1" applyFont="1"/>
    <xf numFmtId="0" fontId="18" fillId="34" borderId="49"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54" borderId="13" xfId="0" applyFont="1" applyFill="1" applyBorder="1" applyAlignment="1">
      <alignment horizontal="center" vertical="center"/>
    </xf>
    <xf numFmtId="164" fontId="35" fillId="37" borderId="0" xfId="42" applyNumberFormat="1" applyFont="1" applyFill="1" applyBorder="1" applyAlignment="1">
      <alignment vertical="center"/>
    </xf>
    <xf numFmtId="164" fontId="1" fillId="37" borderId="0" xfId="42" applyNumberFormat="1" applyFont="1" applyFill="1" applyBorder="1" applyAlignment="1"/>
    <xf numFmtId="164" fontId="35" fillId="52" borderId="0" xfId="42" applyNumberFormat="1" applyFont="1" applyFill="1" applyBorder="1" applyAlignment="1">
      <alignment vertical="center"/>
    </xf>
    <xf numFmtId="164" fontId="35" fillId="45" borderId="0" xfId="42" applyNumberFormat="1" applyFont="1" applyFill="1" applyBorder="1" applyAlignment="1">
      <alignment vertical="center"/>
    </xf>
    <xf numFmtId="164" fontId="35" fillId="46" borderId="0" xfId="42" applyNumberFormat="1" applyFont="1" applyFill="1" applyBorder="1" applyAlignment="1">
      <alignment vertical="center"/>
    </xf>
    <xf numFmtId="164" fontId="35" fillId="47" borderId="0" xfId="42" applyNumberFormat="1" applyFont="1" applyFill="1" applyBorder="1" applyAlignment="1">
      <alignment vertical="center"/>
    </xf>
    <xf numFmtId="164" fontId="35" fillId="48" borderId="0" xfId="42" applyNumberFormat="1" applyFont="1" applyFill="1" applyBorder="1" applyAlignment="1">
      <alignment vertical="center"/>
    </xf>
    <xf numFmtId="164" fontId="16" fillId="52" borderId="41" xfId="0" applyNumberFormat="1" applyFont="1" applyFill="1" applyBorder="1"/>
    <xf numFmtId="164" fontId="16" fillId="49" borderId="41" xfId="0" applyNumberFormat="1" applyFont="1" applyFill="1" applyBorder="1"/>
    <xf numFmtId="164" fontId="16" fillId="45" borderId="41" xfId="0" applyNumberFormat="1" applyFont="1" applyFill="1" applyBorder="1"/>
    <xf numFmtId="164" fontId="16" fillId="46" borderId="41" xfId="0" applyNumberFormat="1" applyFont="1" applyFill="1" applyBorder="1"/>
    <xf numFmtId="164" fontId="16" fillId="47" borderId="41" xfId="0" applyNumberFormat="1" applyFont="1" applyFill="1" applyBorder="1"/>
    <xf numFmtId="164" fontId="16" fillId="48" borderId="41" xfId="0" applyNumberFormat="1" applyFont="1" applyFill="1" applyBorder="1"/>
    <xf numFmtId="164" fontId="0" fillId="49" borderId="0" xfId="42" applyNumberFormat="1" applyFont="1" applyFill="1" applyAlignment="1">
      <alignment horizontal="right"/>
    </xf>
    <xf numFmtId="164" fontId="35" fillId="50" borderId="0" xfId="42" applyNumberFormat="1" applyFont="1" applyFill="1" applyBorder="1" applyAlignment="1">
      <alignment vertical="center"/>
    </xf>
    <xf numFmtId="164" fontId="16" fillId="50" borderId="41" xfId="0" applyNumberFormat="1" applyFont="1" applyFill="1" applyBorder="1"/>
    <xf numFmtId="164" fontId="16" fillId="0" borderId="41" xfId="0" applyNumberFormat="1" applyFont="1" applyFill="1" applyBorder="1"/>
    <xf numFmtId="0" fontId="16" fillId="0" borderId="41" xfId="0" applyFont="1" applyFill="1" applyBorder="1"/>
    <xf numFmtId="0" fontId="16" fillId="0" borderId="41" xfId="0" applyFont="1" applyFill="1" applyBorder="1" applyAlignment="1">
      <alignment horizontal="center"/>
    </xf>
    <xf numFmtId="0" fontId="38" fillId="0" borderId="0" xfId="0" applyFont="1"/>
    <xf numFmtId="0" fontId="38" fillId="0" borderId="0" xfId="0" applyFont="1" applyBorder="1"/>
    <xf numFmtId="0" fontId="38" fillId="0" borderId="0" xfId="0" applyFont="1" applyAlignment="1">
      <alignment horizontal="center" vertical="center" wrapText="1"/>
    </xf>
    <xf numFmtId="0" fontId="38" fillId="0" borderId="0" xfId="0" applyFont="1" applyBorder="1" applyAlignment="1">
      <alignment horizontal="center" vertical="center" wrapText="1"/>
    </xf>
    <xf numFmtId="44" fontId="38" fillId="0" borderId="0" xfId="46" applyFont="1"/>
    <xf numFmtId="44" fontId="38" fillId="0" borderId="0" xfId="46" applyFont="1" applyBorder="1"/>
    <xf numFmtId="44" fontId="38" fillId="0" borderId="0" xfId="0" applyNumberFormat="1" applyFont="1"/>
    <xf numFmtId="44" fontId="39" fillId="0" borderId="0" xfId="0" applyNumberFormat="1" applyFont="1"/>
    <xf numFmtId="0" fontId="19" fillId="0" borderId="16" xfId="0" applyFont="1" applyBorder="1" applyAlignment="1">
      <alignment horizontal="center" vertical="center"/>
    </xf>
    <xf numFmtId="0" fontId="0" fillId="0" borderId="0" xfId="0"/>
    <xf numFmtId="0" fontId="26" fillId="0" borderId="0" xfId="44"/>
    <xf numFmtId="0" fontId="40" fillId="40" borderId="0" xfId="44" applyFont="1" applyFill="1" applyBorder="1" applyAlignment="1">
      <alignment horizontal="center" vertical="center" wrapText="1"/>
    </xf>
    <xf numFmtId="168" fontId="41" fillId="0" borderId="0" xfId="44" applyNumberFormat="1" applyFont="1" applyBorder="1" applyAlignment="1">
      <alignment horizontal="center" vertical="center"/>
    </xf>
    <xf numFmtId="174" fontId="41" fillId="0" borderId="0" xfId="47" applyNumberFormat="1" applyFont="1" applyBorder="1" applyAlignment="1">
      <alignment horizontal="center" vertical="center"/>
    </xf>
    <xf numFmtId="174" fontId="41" fillId="55" borderId="0" xfId="47" applyNumberFormat="1" applyFont="1" applyFill="1" applyBorder="1" applyAlignment="1">
      <alignment horizontal="center" vertical="center"/>
    </xf>
    <xf numFmtId="174" fontId="41" fillId="56" borderId="0" xfId="47" applyNumberFormat="1" applyFont="1" applyFill="1" applyBorder="1" applyAlignment="1">
      <alignment horizontal="center" vertical="center"/>
    </xf>
    <xf numFmtId="168" fontId="42" fillId="0" borderId="0" xfId="44" applyNumberFormat="1" applyFont="1" applyBorder="1" applyAlignment="1">
      <alignment horizontal="center" vertical="center"/>
    </xf>
    <xf numFmtId="174" fontId="42" fillId="0" borderId="0" xfId="47" applyNumberFormat="1" applyFont="1" applyBorder="1" applyAlignment="1">
      <alignment horizontal="center" vertical="center"/>
    </xf>
    <xf numFmtId="174" fontId="42" fillId="55" borderId="0" xfId="47" applyNumberFormat="1" applyFont="1" applyFill="1" applyBorder="1" applyAlignment="1">
      <alignment horizontal="center" vertical="center"/>
    </xf>
    <xf numFmtId="174" fontId="42" fillId="56" borderId="0" xfId="47" applyNumberFormat="1" applyFont="1" applyFill="1" applyBorder="1" applyAlignment="1">
      <alignment horizontal="center" vertical="center"/>
    </xf>
    <xf numFmtId="0" fontId="20" fillId="33" borderId="24" xfId="0" applyFont="1" applyFill="1" applyBorder="1" applyAlignment="1">
      <alignment horizontal="center" vertical="center"/>
    </xf>
    <xf numFmtId="164" fontId="21" fillId="41" borderId="0" xfId="0" applyNumberFormat="1" applyFont="1" applyFill="1" applyBorder="1" applyAlignment="1">
      <alignment horizontal="right" vertical="center"/>
    </xf>
    <xf numFmtId="164" fontId="21" fillId="0" borderId="0" xfId="0" applyNumberFormat="1" applyFont="1"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19" fillId="57" borderId="15" xfId="0" applyFont="1" applyFill="1" applyBorder="1" applyAlignment="1">
      <alignment horizontal="center" vertical="center"/>
    </xf>
    <xf numFmtId="164" fontId="19" fillId="57" borderId="15" xfId="0" applyNumberFormat="1" applyFont="1" applyFill="1" applyBorder="1" applyAlignment="1">
      <alignment horizontal="right" vertical="center"/>
    </xf>
    <xf numFmtId="0" fontId="0" fillId="57" borderId="0" xfId="0" applyFill="1"/>
    <xf numFmtId="164" fontId="19" fillId="57" borderId="45" xfId="0" applyNumberFormat="1" applyFont="1" applyFill="1" applyBorder="1" applyAlignment="1">
      <alignment horizontal="right" vertical="center"/>
    </xf>
    <xf numFmtId="164" fontId="21" fillId="57" borderId="15" xfId="0" applyNumberFormat="1" applyFont="1" applyFill="1" applyBorder="1" applyAlignment="1">
      <alignment horizontal="right" vertical="center"/>
    </xf>
    <xf numFmtId="175" fontId="19" fillId="0" borderId="15" xfId="0" applyNumberFormat="1" applyFont="1" applyBorder="1" applyAlignment="1">
      <alignment horizontal="right" vertical="center"/>
    </xf>
    <xf numFmtId="164" fontId="43" fillId="0" borderId="0" xfId="0" applyNumberFormat="1" applyFont="1" applyFill="1" applyBorder="1" applyAlignment="1">
      <alignment horizontal="right" vertical="center"/>
    </xf>
    <xf numFmtId="0" fontId="14" fillId="0" borderId="0" xfId="0" applyFont="1" applyFill="1"/>
    <xf numFmtId="0" fontId="14" fillId="0" borderId="0" xfId="0" applyFont="1" applyFill="1" applyBorder="1"/>
    <xf numFmtId="165" fontId="30" fillId="0" borderId="0" xfId="0" applyNumberFormat="1" applyFont="1"/>
    <xf numFmtId="0" fontId="30" fillId="0" borderId="0" xfId="0" applyFont="1"/>
    <xf numFmtId="164" fontId="44" fillId="0" borderId="43" xfId="0" applyNumberFormat="1" applyFont="1" applyBorder="1"/>
    <xf numFmtId="164" fontId="30" fillId="0" borderId="0" xfId="0" applyNumberFormat="1" applyFont="1"/>
    <xf numFmtId="164" fontId="44" fillId="0" borderId="41" xfId="0" applyNumberFormat="1" applyFont="1" applyFill="1" applyBorder="1"/>
    <xf numFmtId="164" fontId="44" fillId="0" borderId="42" xfId="0" applyNumberFormat="1" applyFont="1" applyBorder="1"/>
    <xf numFmtId="164" fontId="44" fillId="49" borderId="41" xfId="0" applyNumberFormat="1" applyFont="1" applyFill="1" applyBorder="1"/>
    <xf numFmtId="164" fontId="44" fillId="37" borderId="41" xfId="0" applyNumberFormat="1" applyFont="1" applyFill="1" applyBorder="1"/>
    <xf numFmtId="164" fontId="44" fillId="47" borderId="41" xfId="0" applyNumberFormat="1" applyFont="1" applyFill="1" applyBorder="1"/>
    <xf numFmtId="164" fontId="44" fillId="52" borderId="41" xfId="0" applyNumberFormat="1" applyFont="1" applyFill="1" applyBorder="1"/>
    <xf numFmtId="164" fontId="44" fillId="45" borderId="41" xfId="0" applyNumberFormat="1" applyFont="1" applyFill="1" applyBorder="1"/>
    <xf numFmtId="164" fontId="44" fillId="50" borderId="41" xfId="0" applyNumberFormat="1" applyFont="1" applyFill="1" applyBorder="1"/>
    <xf numFmtId="164" fontId="44" fillId="46" borderId="41" xfId="0" applyNumberFormat="1" applyFont="1" applyFill="1" applyBorder="1"/>
    <xf numFmtId="164" fontId="44" fillId="48" borderId="41" xfId="0" applyNumberFormat="1" applyFont="1" applyFill="1" applyBorder="1"/>
    <xf numFmtId="0" fontId="44" fillId="0" borderId="41" xfId="0" applyFont="1" applyFill="1" applyBorder="1" applyAlignment="1">
      <alignment horizontal="center"/>
    </xf>
    <xf numFmtId="170" fontId="0" fillId="0" borderId="0" xfId="42" applyNumberFormat="1" applyFont="1" applyBorder="1"/>
    <xf numFmtId="0" fontId="18" fillId="56" borderId="46" xfId="0" applyFont="1" applyFill="1" applyBorder="1" applyAlignment="1">
      <alignment horizontal="center" vertical="center" wrapText="1"/>
    </xf>
    <xf numFmtId="0" fontId="18" fillId="56" borderId="13" xfId="0" applyFont="1" applyFill="1" applyBorder="1" applyAlignment="1">
      <alignment horizontal="center" vertical="center" wrapText="1"/>
    </xf>
    <xf numFmtId="0" fontId="18" fillId="34" borderId="25" xfId="0" applyFont="1" applyFill="1" applyBorder="1" applyAlignment="1">
      <alignment horizontal="center" vertical="center" wrapText="1"/>
    </xf>
    <xf numFmtId="164" fontId="19" fillId="0" borderId="15" xfId="0" applyNumberFormat="1" applyFont="1" applyFill="1" applyBorder="1" applyAlignment="1">
      <alignment horizontal="right" vertical="center"/>
    </xf>
    <xf numFmtId="0" fontId="24" fillId="0" borderId="0" xfId="0" quotePrefix="1" applyFont="1" applyFill="1"/>
    <xf numFmtId="0" fontId="24" fillId="0" borderId="0" xfId="0" applyFont="1" applyFill="1"/>
    <xf numFmtId="0" fontId="16" fillId="51" borderId="53" xfId="0" applyFont="1" applyFill="1" applyBorder="1" applyAlignment="1">
      <alignment horizontal="center"/>
    </xf>
    <xf numFmtId="0" fontId="16" fillId="51" borderId="54" xfId="0" applyFont="1" applyFill="1" applyBorder="1" applyAlignment="1">
      <alignment horizontal="center"/>
    </xf>
    <xf numFmtId="0" fontId="0" fillId="51" borderId="54" xfId="0" applyFill="1" applyBorder="1"/>
    <xf numFmtId="0" fontId="0" fillId="51" borderId="55" xfId="0" applyFill="1" applyBorder="1"/>
    <xf numFmtId="0" fontId="0" fillId="51" borderId="56" xfId="0" applyFill="1" applyBorder="1"/>
    <xf numFmtId="0" fontId="0" fillId="51" borderId="57" xfId="0" applyFill="1" applyBorder="1"/>
    <xf numFmtId="0" fontId="16" fillId="51" borderId="58" xfId="0" applyFont="1" applyFill="1" applyBorder="1" applyAlignment="1">
      <alignment horizontal="center"/>
    </xf>
    <xf numFmtId="0" fontId="16" fillId="51" borderId="59" xfId="0" applyFont="1" applyFill="1" applyBorder="1" applyAlignment="1">
      <alignment horizontal="center"/>
    </xf>
    <xf numFmtId="0" fontId="16" fillId="0" borderId="60" xfId="0" applyFont="1" applyBorder="1"/>
    <xf numFmtId="0" fontId="16" fillId="0" borderId="61" xfId="0" applyFont="1" applyBorder="1"/>
    <xf numFmtId="0" fontId="36" fillId="0" borderId="62" xfId="0" applyFont="1" applyBorder="1" applyAlignment="1">
      <alignment vertical="center"/>
    </xf>
    <xf numFmtId="0" fontId="35" fillId="0" borderId="57" xfId="0" applyFont="1" applyBorder="1" applyAlignment="1">
      <alignment horizontal="left" vertical="center"/>
    </xf>
    <xf numFmtId="0" fontId="16" fillId="0" borderId="62" xfId="0" applyFont="1" applyBorder="1" applyAlignment="1"/>
    <xf numFmtId="0" fontId="0" fillId="0" borderId="57" xfId="0" applyBorder="1"/>
    <xf numFmtId="0" fontId="0" fillId="0" borderId="57" xfId="0" applyFill="1" applyBorder="1"/>
    <xf numFmtId="164" fontId="0" fillId="49" borderId="0" xfId="42" applyNumberFormat="1" applyFont="1" applyFill="1" applyBorder="1" applyAlignment="1">
      <alignment horizontal="right"/>
    </xf>
    <xf numFmtId="0" fontId="0" fillId="0" borderId="62" xfId="0" applyBorder="1" applyAlignment="1">
      <alignment horizontal="left" indent="11"/>
    </xf>
    <xf numFmtId="0" fontId="0" fillId="0" borderId="62" xfId="0" applyBorder="1"/>
    <xf numFmtId="0" fontId="14" fillId="0" borderId="62" xfId="0" applyFont="1" applyFill="1" applyBorder="1"/>
    <xf numFmtId="0" fontId="0" fillId="0" borderId="62" xfId="0" applyFill="1" applyBorder="1"/>
    <xf numFmtId="0" fontId="16" fillId="0" borderId="62" xfId="0" applyFont="1" applyFill="1" applyBorder="1"/>
    <xf numFmtId="0" fontId="16" fillId="0" borderId="62" xfId="0" applyFont="1" applyBorder="1"/>
    <xf numFmtId="0" fontId="0" fillId="0" borderId="63" xfId="0" applyBorder="1"/>
    <xf numFmtId="0" fontId="0" fillId="0" borderId="64" xfId="0" applyBorder="1"/>
    <xf numFmtId="43" fontId="0" fillId="0" borderId="64" xfId="0" applyNumberFormat="1" applyBorder="1"/>
    <xf numFmtId="0" fontId="35" fillId="0" borderId="64" xfId="0" applyFont="1" applyBorder="1" applyAlignment="1">
      <alignment horizontal="left" vertical="center" indent="1"/>
    </xf>
    <xf numFmtId="0" fontId="0" fillId="0" borderId="65" xfId="0" applyBorder="1"/>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8" fillId="34" borderId="44" xfId="0" applyFont="1" applyFill="1" applyBorder="1" applyAlignment="1">
      <alignment horizontal="left" vertical="center" wrapText="1"/>
    </xf>
    <xf numFmtId="0" fontId="18" fillId="34" borderId="52" xfId="0" applyFont="1" applyFill="1" applyBorder="1" applyAlignment="1">
      <alignment horizontal="left" vertical="center" wrapText="1"/>
    </xf>
    <xf numFmtId="0" fontId="34" fillId="0" borderId="27" xfId="0" applyFont="1" applyBorder="1" applyAlignment="1">
      <alignment horizontal="left"/>
    </xf>
    <xf numFmtId="0" fontId="34" fillId="0" borderId="28" xfId="0" applyFont="1" applyBorder="1" applyAlignment="1">
      <alignment horizontal="left"/>
    </xf>
    <xf numFmtId="0" fontId="34" fillId="0" borderId="29" xfId="0" applyFont="1" applyBorder="1" applyAlignment="1">
      <alignment horizontal="left"/>
    </xf>
    <xf numFmtId="0" fontId="28" fillId="0" borderId="0" xfId="0" applyFont="1" applyAlignment="1">
      <alignment horizontal="center" vertical="top"/>
    </xf>
    <xf numFmtId="0" fontId="0" fillId="0" borderId="0" xfId="0"/>
    <xf numFmtId="0" fontId="29" fillId="0" borderId="0" xfId="0" applyFont="1" applyBorder="1" applyAlignment="1">
      <alignment vertical="top" indent="2"/>
    </xf>
    <xf numFmtId="0" fontId="18" fillId="40" borderId="19" xfId="0" applyFont="1" applyFill="1" applyBorder="1" applyAlignment="1">
      <alignment vertical="top"/>
    </xf>
    <xf numFmtId="0" fontId="0" fillId="40" borderId="20" xfId="0" applyFill="1" applyBorder="1"/>
    <xf numFmtId="14" fontId="31" fillId="0" borderId="0" xfId="0" applyNumberFormat="1" applyFont="1" applyAlignment="1">
      <alignment horizontal="left" vertical="top"/>
    </xf>
    <xf numFmtId="0" fontId="31" fillId="0" borderId="0" xfId="0" applyFont="1" applyAlignment="1">
      <alignment horizontal="center" vertical="top"/>
    </xf>
    <xf numFmtId="19" fontId="31" fillId="0" borderId="0" xfId="0" applyNumberFormat="1" applyFont="1" applyAlignment="1">
      <alignment horizontal="right" vertical="top"/>
    </xf>
    <xf numFmtId="0" fontId="28" fillId="0" borderId="0" xfId="44" applyFont="1" applyAlignment="1">
      <alignment horizontal="center" vertical="top"/>
    </xf>
    <xf numFmtId="0" fontId="26" fillId="0" borderId="0" xfId="44"/>
    <xf numFmtId="0" fontId="29" fillId="0" borderId="0" xfId="44" applyFont="1" applyBorder="1" applyAlignment="1">
      <alignment vertical="top" indent="2"/>
    </xf>
    <xf numFmtId="171" fontId="31" fillId="0" borderId="0" xfId="44" applyNumberFormat="1" applyFont="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6" builtinId="4"/>
    <cellStyle name="Currency 2"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Percent" xfId="45" builtinId="5"/>
    <cellStyle name="Title" xfId="1" builtinId="15" customBuiltin="1"/>
    <cellStyle name="Title 2" xfId="43"/>
    <cellStyle name="Total" xfId="17" builtinId="25" customBuiltin="1"/>
    <cellStyle name="Warning Text" xfId="14" builtinId="11" customBuiltin="1"/>
  </cellStyles>
  <dxfs count="4">
    <dxf>
      <numFmt numFmtId="167" formatCode="_-* #,##0_-;\-* #,##0_-;_-* &quot;-&quot;??_-;_-@_-"/>
    </dxf>
    <dxf>
      <numFmt numFmtId="176" formatCode="_-* #,##0.0_-;\-* #,##0.0_-;_-* &quot;-&quot;??_-;_-@_-"/>
    </dxf>
    <dxf>
      <numFmt numFmtId="35" formatCode="_-* #,##0.00_-;\-* #,##0.00_-;_-* &quot;-&quot;??_-;_-@_-"/>
    </dxf>
    <dxf>
      <numFmt numFmtId="166"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pivotCacheDefinition" Target="pivotCache/pivotCacheDefinition2.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52400" cy="152400"/>
    <xdr:pic>
      <xdr:nvPicPr>
        <xdr:cNvPr id="2" name="filter.gif">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276225"/>
          <a:ext cx="152400" cy="152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52400" cy="152400"/>
    <xdr:pic>
      <xdr:nvPicPr>
        <xdr:cNvPr id="2" name="filter.gif">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161925"/>
          <a:ext cx="152400" cy="1524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upstore\groups\Gaming\Finance\Monthly\Slots\F21\RC\Tax%20on%20Bonus%20Jackpots%202021.06.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upstore\groups\Gaming\Finance\Monthly\Slots\F21\RC\Rewards%20Amount%20Breakdown%202021.06.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upstore\groups\Gaming\Finance\Monthly\Slots\F21\RC\JMs%20BonusJackpotWorking%20SN%20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oupstore\groups\Gaming\Finance\Monthly\Slots\F20\09%20March\Mar20%20Bonus%20Analysis_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oupstore\groups\Gaming\Finance\Monthly\Slots\F21\07%20Jan\Monthend\Jan21%20Bonus%20Analisis\bonanl.1xl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oupstore\groups\Gaming\Finance\Monthly\Slots\F21\09%20Mar\Monthend\Mar21%20Bonus%20Analysis%20Report\March21%20Bonus%20Analysis_Da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oupstore\groups\Gaming\Finance\Monthly\Slots\F21\10%20Apr\Monthend\Apr21%20Bonus%20Analysis%20Report\April21%20Bonus%20Analysis_Dat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roupstore\groups\Gaming\Finance\Monthly\Slots\F21\11%20May\Monthend\May21%20Bonus%20Analysis%20Report\May21%20Bonus%20Analysis_Dat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m374668\AppData\Local\Microsoft\Windows\INetCache\IE\Q7OL8T7I\RGM%20Rewards%20amo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us Jackpot Split"/>
    </sheetNames>
    <sheetDataSet>
      <sheetData sheetId="0">
        <row r="2">
          <cell r="C2">
            <v>2012</v>
          </cell>
          <cell r="D2">
            <v>2013</v>
          </cell>
          <cell r="E2">
            <v>2014</v>
          </cell>
          <cell r="F2">
            <v>2015</v>
          </cell>
          <cell r="G2">
            <v>2016</v>
          </cell>
          <cell r="H2">
            <v>2017</v>
          </cell>
          <cell r="I2">
            <v>2018</v>
          </cell>
          <cell r="J2">
            <v>2019</v>
          </cell>
          <cell r="K2">
            <v>2020</v>
          </cell>
          <cell r="L2">
            <v>2021</v>
          </cell>
        </row>
        <row r="3">
          <cell r="C3">
            <v>448832810.55000001</v>
          </cell>
          <cell r="D3">
            <v>442365887.73000002</v>
          </cell>
          <cell r="E3">
            <v>431223118.99000001</v>
          </cell>
          <cell r="F3">
            <v>446278627.00999999</v>
          </cell>
          <cell r="G3">
            <v>459432566.57999998</v>
          </cell>
          <cell r="H3">
            <v>444962154.55000001</v>
          </cell>
          <cell r="I3">
            <v>445511202.79000002</v>
          </cell>
          <cell r="J3">
            <v>459123839.61000001</v>
          </cell>
          <cell r="K3">
            <v>339599506.88</v>
          </cell>
          <cell r="L3">
            <v>158226941.55000001</v>
          </cell>
        </row>
        <row r="5">
          <cell r="C5">
            <v>390225.40999999992</v>
          </cell>
          <cell r="D5">
            <v>664162.38000000012</v>
          </cell>
          <cell r="E5">
            <v>1203378.4099999995</v>
          </cell>
          <cell r="F5">
            <v>504611.18999999983</v>
          </cell>
          <cell r="G5">
            <v>1950975.6500000001</v>
          </cell>
          <cell r="H5">
            <v>2159987.1299999994</v>
          </cell>
          <cell r="I5">
            <v>5151170.2700000014</v>
          </cell>
          <cell r="J5">
            <v>1371484.0599999996</v>
          </cell>
          <cell r="K5">
            <v>3127706.8300000005</v>
          </cell>
        </row>
        <row r="6">
          <cell r="C6">
            <v>479443.44000000006</v>
          </cell>
          <cell r="D6">
            <v>1019192.9059999997</v>
          </cell>
          <cell r="E6">
            <v>1608793.92</v>
          </cell>
          <cell r="F6">
            <v>1732549.9999999998</v>
          </cell>
          <cell r="G6">
            <v>2737098.7400000007</v>
          </cell>
          <cell r="H6">
            <v>2013969.0400000007</v>
          </cell>
          <cell r="I6">
            <v>3427950.629999999</v>
          </cell>
          <cell r="J6">
            <v>1782960.7599999993</v>
          </cell>
          <cell r="K6">
            <v>3981984.8800000004</v>
          </cell>
        </row>
        <row r="7">
          <cell r="C7">
            <v>992589.91000000015</v>
          </cell>
          <cell r="D7">
            <v>843398.38000000012</v>
          </cell>
          <cell r="E7">
            <v>876916.54000000015</v>
          </cell>
          <cell r="F7">
            <v>947366.64999999956</v>
          </cell>
          <cell r="G7">
            <v>1387058.0300000003</v>
          </cell>
          <cell r="H7">
            <v>6109593.6399999987</v>
          </cell>
          <cell r="I7">
            <v>2896254.7340000002</v>
          </cell>
          <cell r="J7">
            <v>2729191.67</v>
          </cell>
          <cell r="K7">
            <v>6237889.3900000025</v>
          </cell>
        </row>
        <row r="8">
          <cell r="C8">
            <v>900178.22999999986</v>
          </cell>
          <cell r="D8">
            <v>1303527.7200000004</v>
          </cell>
          <cell r="E8">
            <v>876916.54000000015</v>
          </cell>
          <cell r="F8">
            <v>1742095.919999999</v>
          </cell>
          <cell r="G8">
            <v>2517402.5399999996</v>
          </cell>
          <cell r="H8">
            <v>7578651.7339999983</v>
          </cell>
          <cell r="I8">
            <v>5589898.080000001</v>
          </cell>
          <cell r="J8">
            <v>9229665.9400000013</v>
          </cell>
          <cell r="K8">
            <v>14835169.24</v>
          </cell>
        </row>
        <row r="9">
          <cell r="C9">
            <v>1029613.5</v>
          </cell>
          <cell r="D9">
            <v>520273.4090000001</v>
          </cell>
          <cell r="E9">
            <v>1063339.6499999999</v>
          </cell>
          <cell r="F9">
            <v>1652265.5999999996</v>
          </cell>
          <cell r="G9">
            <v>1180321.7199999997</v>
          </cell>
          <cell r="H9">
            <v>3076225.42</v>
          </cell>
          <cell r="I9">
            <v>5757802.9900000002</v>
          </cell>
          <cell r="J9">
            <v>5318144.9399999995</v>
          </cell>
          <cell r="K9">
            <v>4753597.5500000017</v>
          </cell>
          <cell r="L9">
            <v>0</v>
          </cell>
        </row>
        <row r="10">
          <cell r="C10">
            <v>849924.48999999976</v>
          </cell>
          <cell r="D10">
            <v>888091.83000000019</v>
          </cell>
          <cell r="E10">
            <v>1355020.88</v>
          </cell>
          <cell r="F10">
            <v>1323499.2400000005</v>
          </cell>
          <cell r="G10">
            <v>1942237.36</v>
          </cell>
          <cell r="H10">
            <v>1870536.1699999995</v>
          </cell>
          <cell r="I10">
            <v>2025932.9200000002</v>
          </cell>
          <cell r="J10">
            <v>1436122.8299999998</v>
          </cell>
          <cell r="K10">
            <v>3644575.5100000012</v>
          </cell>
          <cell r="L10">
            <v>308672.41000000003</v>
          </cell>
        </row>
        <row r="11">
          <cell r="C11">
            <v>1614709.05</v>
          </cell>
          <cell r="D11">
            <v>1270258.6900000002</v>
          </cell>
          <cell r="E11">
            <v>957714.04999999993</v>
          </cell>
          <cell r="F11">
            <v>1323499.2400000005</v>
          </cell>
          <cell r="G11">
            <v>1863155.04</v>
          </cell>
          <cell r="H11">
            <v>1622923.6</v>
          </cell>
          <cell r="I11">
            <v>3290077.7700000009</v>
          </cell>
          <cell r="J11">
            <v>2382022.6379999993</v>
          </cell>
          <cell r="K11">
            <v>2726620.53</v>
          </cell>
          <cell r="L11">
            <v>657997.69999999995</v>
          </cell>
        </row>
        <row r="12">
          <cell r="C12">
            <v>670969.39000000013</v>
          </cell>
          <cell r="D12">
            <v>1270258.6900000002</v>
          </cell>
          <cell r="E12">
            <v>1821277.7799999998</v>
          </cell>
          <cell r="F12">
            <v>1950556.1900000006</v>
          </cell>
          <cell r="G12">
            <v>3172075.1199999992</v>
          </cell>
          <cell r="H12">
            <v>5276969.5</v>
          </cell>
          <cell r="I12">
            <v>4287642.0210000006</v>
          </cell>
          <cell r="J12">
            <v>2526661.3200000003</v>
          </cell>
          <cell r="K12">
            <v>4523238.2900000028</v>
          </cell>
          <cell r="L12">
            <v>247328.47</v>
          </cell>
        </row>
        <row r="13">
          <cell r="C13">
            <v>366424.45000000013</v>
          </cell>
          <cell r="D13">
            <v>1070560.3400000003</v>
          </cell>
          <cell r="E13">
            <v>501215.17</v>
          </cell>
          <cell r="F13">
            <v>2124009.4299999997</v>
          </cell>
          <cell r="G13">
            <v>850647.32</v>
          </cell>
          <cell r="H13">
            <v>1612053.4600000002</v>
          </cell>
          <cell r="I13">
            <v>2271204.5799999996</v>
          </cell>
          <cell r="J13">
            <v>4579547.1399999997</v>
          </cell>
          <cell r="K13">
            <v>3053666.9999999995</v>
          </cell>
          <cell r="L13">
            <v>356285.49999999988</v>
          </cell>
        </row>
        <row r="14">
          <cell r="C14">
            <v>1570243.4000000004</v>
          </cell>
          <cell r="D14">
            <v>1594833.6400000001</v>
          </cell>
          <cell r="E14">
            <v>795586.48999999964</v>
          </cell>
          <cell r="F14">
            <v>1266129.55</v>
          </cell>
          <cell r="G14">
            <v>3998612.5500000007</v>
          </cell>
          <cell r="H14">
            <v>1241872.5299999996</v>
          </cell>
          <cell r="I14">
            <v>1862410.6800000004</v>
          </cell>
          <cell r="J14">
            <v>6779926.3300000001</v>
          </cell>
          <cell r="K14">
            <v>0</v>
          </cell>
          <cell r="L14">
            <v>753845.9600000002</v>
          </cell>
        </row>
        <row r="15">
          <cell r="C15">
            <v>804477.95000000007</v>
          </cell>
          <cell r="D15">
            <v>847656.55999999994</v>
          </cell>
          <cell r="E15">
            <v>967359.27999999945</v>
          </cell>
          <cell r="F15">
            <v>1854946.9599999997</v>
          </cell>
          <cell r="G15">
            <v>2132113.88</v>
          </cell>
          <cell r="H15">
            <v>3633483.5499999989</v>
          </cell>
          <cell r="I15">
            <v>2993865.6900000004</v>
          </cell>
          <cell r="J15">
            <v>4770960.7399999993</v>
          </cell>
          <cell r="K15">
            <v>0</v>
          </cell>
          <cell r="L15">
            <v>768593.01</v>
          </cell>
        </row>
        <row r="16">
          <cell r="C16">
            <v>1400083.5999999999</v>
          </cell>
          <cell r="D16">
            <v>1071649.5399999993</v>
          </cell>
          <cell r="E16">
            <v>660891.1399999999</v>
          </cell>
          <cell r="F16">
            <v>1039092.6599999999</v>
          </cell>
          <cell r="G16">
            <v>1708829.8000000005</v>
          </cell>
          <cell r="H16">
            <v>5292492.58</v>
          </cell>
          <cell r="I16">
            <v>2895850.4199999995</v>
          </cell>
          <cell r="J16">
            <v>6089124</v>
          </cell>
          <cell r="K16">
            <v>0</v>
          </cell>
        </row>
        <row r="17">
          <cell r="C17">
            <v>11068882.819999998</v>
          </cell>
          <cell r="D17">
            <v>12363864.085000003</v>
          </cell>
          <cell r="E17">
            <v>12688409.849999998</v>
          </cell>
          <cell r="F17">
            <v>17460622.629999999</v>
          </cell>
          <cell r="G17">
            <v>25440527.749999996</v>
          </cell>
          <cell r="H17">
            <v>41488758.353999995</v>
          </cell>
          <cell r="I17">
            <v>42450060.785000004</v>
          </cell>
          <cell r="J17">
            <v>48995812.368000001</v>
          </cell>
          <cell r="K17">
            <v>46884449.220000014</v>
          </cell>
          <cell r="L17">
            <v>3092723.05</v>
          </cell>
        </row>
        <row r="19">
          <cell r="C19">
            <v>437763927.73000002</v>
          </cell>
          <cell r="D19">
            <v>430002023.64500004</v>
          </cell>
          <cell r="E19">
            <v>418534709.13999999</v>
          </cell>
          <cell r="F19">
            <v>428818004.38</v>
          </cell>
          <cell r="G19">
            <v>433992038.82999998</v>
          </cell>
          <cell r="H19">
            <v>403473396.19600004</v>
          </cell>
          <cell r="I19">
            <v>403061142.005</v>
          </cell>
          <cell r="J19">
            <v>410128027.24199998</v>
          </cell>
          <cell r="K19">
            <v>292715057.65999997</v>
          </cell>
          <cell r="L19">
            <v>155134218.5</v>
          </cell>
        </row>
        <row r="21">
          <cell r="C21">
            <v>59116462.729999997</v>
          </cell>
          <cell r="D21">
            <v>63958886.880000003</v>
          </cell>
          <cell r="E21">
            <v>74432668.930000007</v>
          </cell>
          <cell r="F21">
            <v>81191713.920000002</v>
          </cell>
          <cell r="G21">
            <v>81454555.300000012</v>
          </cell>
          <cell r="H21">
            <v>80572596.483999997</v>
          </cell>
          <cell r="I21">
            <v>79407730.309999973</v>
          </cell>
          <cell r="J21">
            <v>74302632.038000017</v>
          </cell>
          <cell r="K21">
            <v>51928171.839999996</v>
          </cell>
          <cell r="L21">
            <v>13783564.639999997</v>
          </cell>
        </row>
        <row r="22">
          <cell r="C22">
            <v>2565229.46</v>
          </cell>
          <cell r="D22">
            <v>4867602.88</v>
          </cell>
          <cell r="E22">
            <v>8305451.5600000005</v>
          </cell>
          <cell r="F22">
            <v>9396598.339999998</v>
          </cell>
          <cell r="G22">
            <v>9333594.4299999997</v>
          </cell>
          <cell r="H22">
            <v>13019349.046</v>
          </cell>
          <cell r="I22">
            <v>14561922.969999999</v>
          </cell>
          <cell r="J22">
            <v>14951631.022</v>
          </cell>
          <cell r="K22">
            <v>14839241.930000002</v>
          </cell>
          <cell r="L22">
            <v>1258702.6200000001</v>
          </cell>
        </row>
        <row r="23">
          <cell r="C23">
            <v>61681692.189999998</v>
          </cell>
          <cell r="D23">
            <v>68826489.760000005</v>
          </cell>
          <cell r="E23">
            <v>82738120.49000001</v>
          </cell>
          <cell r="F23">
            <v>90588312.260000005</v>
          </cell>
          <cell r="G23">
            <v>90788149.730000004</v>
          </cell>
          <cell r="H23">
            <v>93591945.530000001</v>
          </cell>
          <cell r="I23">
            <v>93969653.279999971</v>
          </cell>
          <cell r="J23">
            <v>89254263.060000017</v>
          </cell>
          <cell r="K23">
            <v>66767413.769999996</v>
          </cell>
          <cell r="L23">
            <v>15042267.259999998</v>
          </cell>
        </row>
        <row r="26">
          <cell r="C26">
            <v>496880390.46000004</v>
          </cell>
          <cell r="D26">
            <v>493960910.52500004</v>
          </cell>
          <cell r="E26">
            <v>492967378.06999999</v>
          </cell>
          <cell r="F26">
            <v>510009718.30000001</v>
          </cell>
          <cell r="G26">
            <v>515446594.13</v>
          </cell>
          <cell r="H26">
            <v>484045992.68000007</v>
          </cell>
          <cell r="I26">
            <v>482468872.31499994</v>
          </cell>
          <cell r="J26">
            <v>484430659.27999997</v>
          </cell>
          <cell r="K26">
            <v>344643229.49999994</v>
          </cell>
          <cell r="L26">
            <v>168917783.13999999</v>
          </cell>
        </row>
        <row r="27">
          <cell r="C27">
            <v>13634112.279999997</v>
          </cell>
          <cell r="D27">
            <v>17231466.965000004</v>
          </cell>
          <cell r="E27">
            <v>20993861.409999996</v>
          </cell>
          <cell r="F27">
            <v>26857220.969999999</v>
          </cell>
          <cell r="G27">
            <v>34774122.179999992</v>
          </cell>
          <cell r="H27">
            <v>54508107.399999991</v>
          </cell>
          <cell r="I27">
            <v>57011983.755000003</v>
          </cell>
          <cell r="J27">
            <v>63947443.390000001</v>
          </cell>
          <cell r="K27">
            <v>61723691.150000013</v>
          </cell>
          <cell r="L27">
            <v>4351425.67</v>
          </cell>
        </row>
        <row r="28">
          <cell r="C28">
            <v>510514502.74000001</v>
          </cell>
          <cell r="D28">
            <v>511192377.49000001</v>
          </cell>
          <cell r="E28">
            <v>513961239.48000002</v>
          </cell>
          <cell r="F28">
            <v>536866939.26999998</v>
          </cell>
          <cell r="G28">
            <v>550220716.30999994</v>
          </cell>
          <cell r="H28">
            <v>538554100.08000004</v>
          </cell>
          <cell r="I28">
            <v>539480856.06999993</v>
          </cell>
          <cell r="J28">
            <v>548378102.66999996</v>
          </cell>
          <cell r="K28">
            <v>406366920.64999998</v>
          </cell>
          <cell r="L28">
            <v>173269208.80999997</v>
          </cell>
        </row>
        <row r="29">
          <cell r="C29">
            <v>510514502.74000001</v>
          </cell>
          <cell r="D29">
            <v>511192377.49000001</v>
          </cell>
          <cell r="E29">
            <v>513961239.48000002</v>
          </cell>
          <cell r="F29">
            <v>536866939.26999998</v>
          </cell>
          <cell r="G29">
            <v>550220716.30999994</v>
          </cell>
          <cell r="H29">
            <v>538554100.08000004</v>
          </cell>
          <cell r="I29">
            <v>539480856.06999993</v>
          </cell>
          <cell r="J29">
            <v>548378102.67000008</v>
          </cell>
          <cell r="K29">
            <v>406366920.64999998</v>
          </cell>
          <cell r="L29">
            <v>173269208.81</v>
          </cell>
        </row>
        <row r="30">
          <cell r="C30">
            <v>0</v>
          </cell>
          <cell r="D30">
            <v>0</v>
          </cell>
          <cell r="E30">
            <v>0</v>
          </cell>
          <cell r="F30">
            <v>0</v>
          </cell>
          <cell r="G30">
            <v>0</v>
          </cell>
          <cell r="H30">
            <v>0</v>
          </cell>
          <cell r="I30">
            <v>0</v>
          </cell>
          <cell r="J30">
            <v>0</v>
          </cell>
          <cell r="K30">
            <v>0</v>
          </cell>
          <cell r="L30">
            <v>0</v>
          </cell>
        </row>
        <row r="33">
          <cell r="C33">
            <v>0.27410000000000001</v>
          </cell>
          <cell r="D33">
            <v>0.2913</v>
          </cell>
          <cell r="E33">
            <v>0.3085</v>
          </cell>
          <cell r="F33">
            <v>0.32569999999999999</v>
          </cell>
          <cell r="G33">
            <v>0.32569999999999999</v>
          </cell>
          <cell r="H33">
            <v>0.32569999999999999</v>
          </cell>
          <cell r="I33">
            <v>0.32569999999999999</v>
          </cell>
          <cell r="J33">
            <v>0.32569999999999999</v>
          </cell>
          <cell r="K33">
            <v>0.32569999999999999</v>
          </cell>
          <cell r="L33">
            <v>0.32569999999999999</v>
          </cell>
        </row>
        <row r="34">
          <cell r="C34">
            <v>0.1</v>
          </cell>
          <cell r="D34">
            <v>0.1</v>
          </cell>
          <cell r="E34">
            <v>0.1</v>
          </cell>
          <cell r="F34">
            <v>0.1</v>
          </cell>
          <cell r="G34">
            <v>0.1</v>
          </cell>
          <cell r="H34">
            <v>0.1</v>
          </cell>
          <cell r="I34">
            <v>0.1</v>
          </cell>
          <cell r="J34">
            <v>0.1</v>
          </cell>
          <cell r="K34">
            <v>0.1</v>
          </cell>
          <cell r="L34">
            <v>0.1</v>
          </cell>
        </row>
        <row r="37">
          <cell r="C37">
            <v>136194915.02508602</v>
          </cell>
          <cell r="D37">
            <v>143890813.2359325</v>
          </cell>
          <cell r="E37">
            <v>152080436.13459501</v>
          </cell>
          <cell r="F37">
            <v>166110165.25031</v>
          </cell>
          <cell r="G37">
            <v>167880955.708141</v>
          </cell>
          <cell r="H37">
            <v>157653779.81587601</v>
          </cell>
          <cell r="I37">
            <v>157140111.71299547</v>
          </cell>
          <cell r="J37">
            <v>157779065.727496</v>
          </cell>
          <cell r="K37">
            <v>112250299.84814997</v>
          </cell>
          <cell r="L37">
            <v>55016521.968697995</v>
          </cell>
        </row>
        <row r="38">
          <cell r="C38">
            <v>1363411.2279999999</v>
          </cell>
          <cell r="D38">
            <v>1723146.6965000005</v>
          </cell>
          <cell r="E38">
            <v>2099386.1409999998</v>
          </cell>
          <cell r="F38">
            <v>2685722.0970000001</v>
          </cell>
          <cell r="G38">
            <v>3477412.2179999994</v>
          </cell>
          <cell r="H38">
            <v>5450810.7399999993</v>
          </cell>
          <cell r="I38">
            <v>5701198.375500001</v>
          </cell>
          <cell r="J38">
            <v>6394744.3390000006</v>
          </cell>
          <cell r="K38">
            <v>6172369.1150000021</v>
          </cell>
          <cell r="L38">
            <v>435142.56700000004</v>
          </cell>
        </row>
        <row r="39">
          <cell r="C39">
            <v>137558326.253086</v>
          </cell>
          <cell r="D39">
            <v>145613959.9324325</v>
          </cell>
          <cell r="E39">
            <v>154179822.27559501</v>
          </cell>
          <cell r="F39">
            <v>168795887.34731001</v>
          </cell>
          <cell r="G39">
            <v>171358367.92614099</v>
          </cell>
          <cell r="H39">
            <v>163104590.55587602</v>
          </cell>
          <cell r="I39">
            <v>162841310.08849546</v>
          </cell>
          <cell r="J39">
            <v>164173810.06649598</v>
          </cell>
          <cell r="K39">
            <v>118422668.96314996</v>
          </cell>
          <cell r="L39">
            <v>55451664.535697997</v>
          </cell>
        </row>
        <row r="41">
          <cell r="C41">
            <v>33425040.400997952</v>
          </cell>
          <cell r="D41">
            <v>30771326.232951388</v>
          </cell>
          <cell r="E41">
            <v>31156884.331562251</v>
          </cell>
          <cell r="F41">
            <v>11247439.459547177</v>
          </cell>
          <cell r="G41">
            <v>18447300.979741447</v>
          </cell>
          <cell r="H41">
            <v>16558611.634207435</v>
          </cell>
          <cell r="I41">
            <v>17580530.209894437</v>
          </cell>
          <cell r="J41">
            <v>14554706.188823693</v>
          </cell>
          <cell r="K41">
            <v>0</v>
          </cell>
          <cell r="L41">
            <v>0</v>
          </cell>
        </row>
        <row r="42">
          <cell r="C42">
            <v>3305339.3820000002</v>
          </cell>
          <cell r="D42">
            <v>2365570.9899999998</v>
          </cell>
          <cell r="E42">
            <v>2317316.7399999998</v>
          </cell>
          <cell r="F42">
            <v>2561472.4</v>
          </cell>
          <cell r="G42">
            <v>5633181.1799999997</v>
          </cell>
          <cell r="H42">
            <v>5064843.01</v>
          </cell>
          <cell r="I42">
            <v>5649881.75</v>
          </cell>
          <cell r="J42">
            <v>5467610.79</v>
          </cell>
          <cell r="K42">
            <v>0</v>
          </cell>
        </row>
        <row r="43">
          <cell r="C43">
            <v>21509549</v>
          </cell>
          <cell r="D43">
            <v>20209835</v>
          </cell>
          <cell r="E43">
            <v>20337850.75</v>
          </cell>
        </row>
        <row r="44">
          <cell r="C44">
            <v>10833325</v>
          </cell>
        </row>
        <row r="45">
          <cell r="C45">
            <v>157001803.27208397</v>
          </cell>
          <cell r="D45">
            <v>153809880.17538387</v>
          </cell>
          <cell r="E45">
            <v>162681539.11715725</v>
          </cell>
          <cell r="F45">
            <v>177481854.40685716</v>
          </cell>
          <cell r="G45">
            <v>184172487.72588244</v>
          </cell>
          <cell r="H45">
            <v>174598359.18008345</v>
          </cell>
          <cell r="I45">
            <v>174771958.54838991</v>
          </cell>
          <cell r="J45">
            <v>173260905.46531969</v>
          </cell>
          <cell r="K45">
            <v>118422668.96314996</v>
          </cell>
          <cell r="L45">
            <v>55451664.535697997</v>
          </cell>
        </row>
        <row r="47">
          <cell r="C47">
            <v>134786936.53200001</v>
          </cell>
          <cell r="D47">
            <v>128444608.30000001</v>
          </cell>
          <cell r="E47">
            <v>132329925.75</v>
          </cell>
          <cell r="F47">
            <v>143933251.17000002</v>
          </cell>
          <cell r="G47">
            <v>147422509.61000001</v>
          </cell>
          <cell r="H47">
            <v>138396749.78999999</v>
          </cell>
          <cell r="I47">
            <v>138548929.60000002</v>
          </cell>
          <cell r="J47">
            <v>141732888.63999999</v>
          </cell>
          <cell r="K47">
            <v>102611144.45</v>
          </cell>
          <cell r="L47">
            <v>50830156.159999996</v>
          </cell>
        </row>
        <row r="48">
          <cell r="C48">
            <v>22214866.740083963</v>
          </cell>
          <cell r="D48">
            <v>25365271.875383854</v>
          </cell>
          <cell r="E48">
            <v>30351613.367157251</v>
          </cell>
          <cell r="F48">
            <v>33548603.236857146</v>
          </cell>
          <cell r="G48">
            <v>36749978.115882427</v>
          </cell>
          <cell r="H48">
            <v>36201609.390083462</v>
          </cell>
          <cell r="I48">
            <v>36223028.948389888</v>
          </cell>
          <cell r="J48">
            <v>31528016.825319707</v>
          </cell>
          <cell r="K48">
            <v>15811524.513149962</v>
          </cell>
          <cell r="L48">
            <v>4621508.3756980002</v>
          </cell>
          <cell r="M48">
            <v>272616021.38800561</v>
          </cell>
        </row>
        <row r="50">
          <cell r="C50">
            <v>16591043.693264857</v>
          </cell>
          <cell r="D50">
            <v>20070955.01597489</v>
          </cell>
          <cell r="E50">
            <v>23640779.555244904</v>
          </cell>
          <cell r="F50">
            <v>26660752.030767262</v>
          </cell>
          <cell r="G50">
            <v>27439347.164099157</v>
          </cell>
          <cell r="H50">
            <v>27541389.204413481</v>
          </cell>
          <cell r="I50">
            <v>27322571.856653124</v>
          </cell>
          <cell r="J50">
            <v>23940801.255071819</v>
          </cell>
          <cell r="K50">
            <v>15811524.513149962</v>
          </cell>
          <cell r="L50">
            <v>4621508.3756980002</v>
          </cell>
        </row>
        <row r="51">
          <cell r="C51">
            <v>5623823.0468191067</v>
          </cell>
          <cell r="D51">
            <v>5294316.8594089625</v>
          </cell>
          <cell r="E51">
            <v>6710833.8119123466</v>
          </cell>
          <cell r="F51">
            <v>6887851.206089885</v>
          </cell>
          <cell r="G51">
            <v>9310630.9517832678</v>
          </cell>
          <cell r="H51">
            <v>8660220.1856699791</v>
          </cell>
          <cell r="I51">
            <v>8900457.0917367656</v>
          </cell>
          <cell r="J51">
            <v>7587215.5702478904</v>
          </cell>
          <cell r="K51">
            <v>0</v>
          </cell>
          <cell r="L51">
            <v>0</v>
          </cell>
        </row>
        <row r="53">
          <cell r="C53">
            <v>0.26897841327308203</v>
          </cell>
          <cell r="D53">
            <v>0.29161671742904371</v>
          </cell>
          <cell r="E53">
            <v>0.28573019806634603</v>
          </cell>
          <cell r="F53">
            <v>0.29430675288714403</v>
          </cell>
          <cell r="G53">
            <v>0.30223489789914848</v>
          </cell>
          <cell r="H53">
            <v>0.2942709337694594</v>
          </cell>
          <cell r="I53">
            <v>0.29075952611254685</v>
          </cell>
          <cell r="J53">
            <v>0.26823145958841121</v>
          </cell>
          <cell r="K53">
            <v>0.23681499133121153</v>
          </cell>
          <cell r="L53">
            <v>0.30723482675961983</v>
          </cell>
        </row>
        <row r="54">
          <cell r="C54">
            <v>9.1174915070356258E-2</v>
          </cell>
          <cell r="D54">
            <v>7.692266274032572E-2</v>
          </cell>
          <cell r="E54">
            <v>8.1109333547447926E-2</v>
          </cell>
          <cell r="F54">
            <v>7.6034656505365436E-2</v>
          </cell>
          <cell r="G54">
            <v>0.10255337265350906</v>
          </cell>
          <cell r="H54">
            <v>9.2531682471479651E-2</v>
          </cell>
          <cell r="I54">
            <v>9.4716291707666586E-2</v>
          </cell>
          <cell r="J54">
            <v>8.5006758334304808E-2</v>
          </cell>
          <cell r="K54">
            <v>0</v>
          </cell>
          <cell r="L5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M_Data"/>
      <sheetName val="SN_Data"/>
    </sheetNames>
    <sheetDataSet>
      <sheetData sheetId="0" refreshError="1"/>
      <sheetData sheetId="1" refreshError="1"/>
      <sheetData sheetId="2">
        <row r="2">
          <cell r="H2">
            <v>7397583.7925469996</v>
          </cell>
          <cell r="I2">
            <v>0</v>
          </cell>
          <cell r="J2">
            <v>47014.643045999997</v>
          </cell>
          <cell r="K2">
            <v>0</v>
          </cell>
          <cell r="N2">
            <v>-225.84440700057894</v>
          </cell>
        </row>
        <row r="3">
          <cell r="H3">
            <v>8340964.7013360001</v>
          </cell>
          <cell r="I3">
            <v>1482472.1087150001</v>
          </cell>
          <cell r="J3">
            <v>101106.244364</v>
          </cell>
          <cell r="K3">
            <v>1178202.7272719999</v>
          </cell>
          <cell r="N3">
            <v>520.3616870008409</v>
          </cell>
        </row>
        <row r="4">
          <cell r="H4">
            <v>8783508.084361</v>
          </cell>
          <cell r="I4">
            <v>1617626.089984</v>
          </cell>
          <cell r="J4">
            <v>118375.90880799999</v>
          </cell>
          <cell r="K4">
            <v>2084210.5</v>
          </cell>
          <cell r="N4">
            <v>-261.946846999228</v>
          </cell>
        </row>
        <row r="5">
          <cell r="H5">
            <v>8894715.4003599994</v>
          </cell>
          <cell r="I5">
            <v>1494346</v>
          </cell>
          <cell r="J5">
            <v>75694.52</v>
          </cell>
          <cell r="K5">
            <v>2159513.44</v>
          </cell>
          <cell r="N5">
            <v>-433.49964000098407</v>
          </cell>
        </row>
        <row r="6">
          <cell r="H6">
            <v>8296928.216298</v>
          </cell>
          <cell r="I6">
            <v>1471811.4</v>
          </cell>
          <cell r="J6">
            <v>64084.2</v>
          </cell>
          <cell r="K6">
            <v>1388095</v>
          </cell>
          <cell r="N6">
            <v>-415.16370200179517</v>
          </cell>
        </row>
        <row r="7">
          <cell r="H7">
            <v>8807956.3556540012</v>
          </cell>
          <cell r="I7">
            <v>1018705.75</v>
          </cell>
          <cell r="J7">
            <v>62528.35</v>
          </cell>
          <cell r="K7">
            <v>1871801.6500000001</v>
          </cell>
          <cell r="N7">
            <v>-360.32434599846601</v>
          </cell>
        </row>
        <row r="8">
          <cell r="H8">
            <v>9814018.5779170003</v>
          </cell>
          <cell r="I8">
            <v>1285745.42</v>
          </cell>
          <cell r="J8">
            <v>72961.100000000006</v>
          </cell>
          <cell r="K8">
            <v>1622207.6199999999</v>
          </cell>
          <cell r="N8">
            <v>-371.78208300098777</v>
          </cell>
        </row>
        <row r="9">
          <cell r="H9">
            <v>6787343.6275880001</v>
          </cell>
          <cell r="I9">
            <v>639872.99</v>
          </cell>
          <cell r="J9">
            <v>60405.55</v>
          </cell>
          <cell r="K9">
            <v>1192466.1000000001</v>
          </cell>
          <cell r="N9">
            <v>-259.54241199977696</v>
          </cell>
        </row>
        <row r="10">
          <cell r="H10">
            <v>1644274.2785100001</v>
          </cell>
          <cell r="I10">
            <v>385484.4</v>
          </cell>
          <cell r="J10">
            <v>12032.1</v>
          </cell>
          <cell r="K10">
            <v>741561.05999999994</v>
          </cell>
          <cell r="N10">
            <v>188.20851000025868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N"/>
      <sheetName val="Sheet4"/>
    </sheetNames>
    <sheetDataSet>
      <sheetData sheetId="0" refreshError="1"/>
      <sheetData sheetId="1" refreshError="1"/>
      <sheetData sheetId="2">
        <row r="6">
          <cell r="L6">
            <v>61681692.189999998</v>
          </cell>
        </row>
        <row r="7">
          <cell r="L7">
            <v>68826489.760000005</v>
          </cell>
        </row>
        <row r="8">
          <cell r="L8">
            <v>82738120.489999995</v>
          </cell>
        </row>
        <row r="9">
          <cell r="L9">
            <v>90588312.260000005</v>
          </cell>
        </row>
        <row r="10">
          <cell r="L10">
            <v>90788149.730000004</v>
          </cell>
        </row>
        <row r="11">
          <cell r="L11">
            <v>93591945.530000001</v>
          </cell>
        </row>
        <row r="12">
          <cell r="L12">
            <v>93969653.280000001</v>
          </cell>
        </row>
        <row r="13">
          <cell r="L13">
            <v>89254263.060000002</v>
          </cell>
        </row>
        <row r="14">
          <cell r="L14">
            <v>66767413.770000003</v>
          </cell>
        </row>
        <row r="15">
          <cell r="L15">
            <v>15042267.26</v>
          </cell>
        </row>
        <row r="16">
          <cell r="L16">
            <v>753248307.32999992</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
          <cell r="B12">
            <v>0.1</v>
          </cell>
        </row>
        <row r="16">
          <cell r="B16">
            <v>31435.29</v>
          </cell>
        </row>
        <row r="17">
          <cell r="B17">
            <v>982897.12</v>
          </cell>
        </row>
        <row r="37">
          <cell r="B37">
            <v>18845.669999999998</v>
          </cell>
        </row>
        <row r="41">
          <cell r="B41">
            <v>2544251.87</v>
          </cell>
        </row>
        <row r="45">
          <cell r="B45">
            <v>75830.600000000006</v>
          </cell>
        </row>
        <row r="49">
          <cell r="B49">
            <v>155360.14000000001</v>
          </cell>
        </row>
        <row r="53">
          <cell r="B53">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3">
          <cell r="B13">
            <v>1826587.93</v>
          </cell>
        </row>
        <row r="18">
          <cell r="B18">
            <v>282.56</v>
          </cell>
        </row>
        <row r="22">
          <cell r="B22">
            <v>529.54</v>
          </cell>
        </row>
        <row r="25">
          <cell r="B25">
            <v>0</v>
          </cell>
        </row>
        <row r="30">
          <cell r="B30">
            <v>11565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4">
          <cell r="B14">
            <v>1.06</v>
          </cell>
        </row>
        <row r="17">
          <cell r="B17">
            <v>12</v>
          </cell>
        </row>
        <row r="18">
          <cell r="B18">
            <v>37.200000000000003</v>
          </cell>
        </row>
        <row r="23">
          <cell r="B23">
            <v>1942695.26</v>
          </cell>
        </row>
        <row r="27">
          <cell r="B27">
            <v>197.29</v>
          </cell>
        </row>
        <row r="31">
          <cell r="B31">
            <v>38.020000000000003</v>
          </cell>
        </row>
        <row r="35">
          <cell r="B35">
            <v>0</v>
          </cell>
        </row>
        <row r="40">
          <cell r="B40">
            <v>8795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4">
          <cell r="B14">
            <v>0.4</v>
          </cell>
        </row>
        <row r="17">
          <cell r="B17">
            <v>2199</v>
          </cell>
        </row>
        <row r="18">
          <cell r="B18">
            <v>295202.39</v>
          </cell>
        </row>
        <row r="23">
          <cell r="B23">
            <v>2534771.52</v>
          </cell>
        </row>
        <row r="27">
          <cell r="B27">
            <v>265.75</v>
          </cell>
        </row>
        <row r="31">
          <cell r="B31">
            <v>46437.79</v>
          </cell>
        </row>
        <row r="35">
          <cell r="B35">
            <v>0</v>
          </cell>
        </row>
        <row r="40">
          <cell r="B40">
            <v>11710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4">
          <cell r="G14">
            <v>0.08</v>
          </cell>
        </row>
        <row r="17">
          <cell r="G17">
            <v>2574</v>
          </cell>
        </row>
        <row r="18">
          <cell r="G18">
            <v>351975.95</v>
          </cell>
        </row>
        <row r="22">
          <cell r="G22">
            <v>1668593.34</v>
          </cell>
        </row>
        <row r="27">
          <cell r="G27">
            <v>101.21</v>
          </cell>
        </row>
        <row r="31">
          <cell r="G31">
            <v>132919.04000000001</v>
          </cell>
        </row>
        <row r="35">
          <cell r="G35">
            <v>0</v>
          </cell>
        </row>
        <row r="40">
          <cell r="G40">
            <v>8310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_1"/>
    </sheetNames>
    <sheetDataSet>
      <sheetData sheetId="0">
        <row r="4">
          <cell r="G4">
            <v>1940494.02</v>
          </cell>
        </row>
        <row r="5">
          <cell r="G5">
            <v>4121598.55</v>
          </cell>
        </row>
        <row r="6">
          <cell r="G6">
            <v>74280.72</v>
          </cell>
        </row>
        <row r="7">
          <cell r="G7">
            <v>0.11</v>
          </cell>
        </row>
        <row r="8">
          <cell r="G8">
            <v>70.069999999999993</v>
          </cell>
        </row>
        <row r="9">
          <cell r="G9">
            <v>284547.75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sz355982\AppData\Local\Microsoft\Windows\Temporary%20Internet%20Files\Content.Outlook\M0LX5FE1\EGM%20Theo%20Rev%20By%20Area%20and%20by%20Month%20NEW%20(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Author" refreshedDate="44256.424826041664" createdVersion="4" refreshedVersion="4" minRefreshableVersion="3" recordCount="117">
  <cacheSource type="worksheet">
    <worksheetSource ref="A3:F120" sheet="COGNOS Data"/>
  </cacheSource>
  <cacheFields count="6">
    <cacheField name="Fiscal Year Number" numFmtId="0">
      <sharedItems containsMixedTypes="1" containsNumber="1" containsInteger="1" minValue="2005" maxValue="2021" count="18">
        <n v="2005"/>
        <n v="2006"/>
        <n v="2007"/>
        <n v="2008"/>
        <n v="2009"/>
        <n v="2010"/>
        <n v="2011"/>
        <n v="2012"/>
        <n v="2013"/>
        <n v="2014"/>
        <n v="2015"/>
        <n v="2016"/>
        <n v="2017"/>
        <n v="2018"/>
        <n v="2019"/>
        <n v="2020"/>
        <n v="2021"/>
        <s v="Summary"/>
      </sharedItems>
    </cacheField>
    <cacheField name="DACOM Promo Level 1 Description" numFmtId="0">
      <sharedItems containsBlank="1" count="11">
        <s v="Free Credits Program"/>
        <s v="Matchplay"/>
        <s v="Country Members"/>
        <s v="Birthday Promotions"/>
        <s v="Mail Outs"/>
        <s v="Progam Promotions"/>
        <s v="Incentive Programs"/>
        <s v="Consolation Prizes"/>
        <s v="Miscellaneous"/>
        <s v="Random Riches Promo"/>
        <m/>
      </sharedItems>
    </cacheField>
    <cacheField name="Turnover" numFmtId="169">
      <sharedItems containsSemiMixedTypes="0" containsString="0" containsNumber="1" minValue="846517891.42999995" maxValue="79956001430.449997"/>
    </cacheField>
    <cacheField name="Net Revenue" numFmtId="169">
      <sharedItems containsSemiMixedTypes="0" containsString="0" containsNumber="1" minValue="67863722.629999995" maxValue="6644779382.1700001"/>
    </cacheField>
    <cacheField name="Reward Amount" numFmtId="169">
      <sharedItems containsSemiMixedTypes="0" containsString="0" containsNumber="1" minValue="0" maxValue="89460491.319999993"/>
    </cacheField>
    <cacheField name="Redeemed Amount" numFmtId="169">
      <sharedItems containsSemiMixedTypes="0" containsString="0" containsNumber="1" minValue="0.02" maxValue="1107179510.81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4257.566273263888" createdVersion="6" refreshedVersion="4" minRefreshableVersion="3" recordCount="116">
  <cacheSource type="worksheet">
    <worksheetSource ref="B3:H119" sheet="Sheet1" r:id="rId2"/>
  </cacheSource>
  <cacheFields count="7">
    <cacheField name="Fiscal Year Number" numFmtId="164">
      <sharedItems containsSemiMixedTypes="0" containsString="0" containsNumber="1" containsInteger="1" minValue="2005" maxValue="2021" count="17">
        <n v="2005"/>
        <n v="2006"/>
        <n v="2007"/>
        <n v="2008"/>
        <n v="2009"/>
        <n v="2010"/>
        <n v="2011"/>
        <n v="2012"/>
        <n v="2013"/>
        <n v="2014"/>
        <n v="2015"/>
        <n v="2016"/>
        <n v="2017"/>
        <n v="2018"/>
        <n v="2019"/>
        <n v="2020"/>
        <n v="2021"/>
      </sharedItems>
    </cacheField>
    <cacheField name="DACOM Promo Level 1 Description" numFmtId="0">
      <sharedItems count="10">
        <s v="Free Credits Program"/>
        <s v="Matchplay"/>
        <s v="Country Members"/>
        <s v="Birthday Promotions"/>
        <s v="Mail Outs"/>
        <s v="Progam Promotions"/>
        <s v="Incentive Programs"/>
        <s v="Consolation Prizes"/>
        <s v="Miscellaneous"/>
        <s v="Random Riches Promo"/>
      </sharedItems>
    </cacheField>
    <cacheField name="Turnover" numFmtId="165">
      <sharedItems containsSemiMixedTypes="0" containsString="0" containsNumber="1" minValue="898497511.26999998" maxValue="5851909080.8599997"/>
    </cacheField>
    <cacheField name="Net Revenue" numFmtId="165">
      <sharedItems containsSemiMixedTypes="0" containsString="0" containsNumber="1" minValue="72025789.390000001" maxValue="459432566.57999998"/>
    </cacheField>
    <cacheField name="Theo Net Revenue" numFmtId="165">
      <sharedItems containsSemiMixedTypes="0" containsString="0" containsNumber="1" minValue="74109466.447522596" maxValue="457781452.94600499"/>
    </cacheField>
    <cacheField name="Awarded Amount" numFmtId="165">
      <sharedItems containsSemiMixedTypes="0" containsString="0" containsNumber="1" minValue="0" maxValue="52306205"/>
    </cacheField>
    <cacheField name="Redeemed Amount" numFmtId="165">
      <sharedItems containsSemiMixedTypes="0" containsString="0" containsNumber="1" minValue="0.02" maxValue="52265720.53999999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4354.734289930559" createdVersion="6" refreshedVersion="6" minRefreshableVersion="3" recordCount="95">
  <cacheSource type="worksheet">
    <worksheetSource ref="B4:P99" sheet="Dacom Data"/>
  </cacheSource>
  <cacheFields count="15">
    <cacheField name="FY" numFmtId="0">
      <sharedItems count="8">
        <s v="FY14"/>
        <s v="FY15"/>
        <s v="FY16"/>
        <s v="FY17"/>
        <s v="FY18"/>
        <s v="FY19"/>
        <s v="FY20"/>
        <s v="FY21"/>
      </sharedItems>
    </cacheField>
    <cacheField name="Month" numFmtId="17">
      <sharedItems containsSemiMixedTypes="0" containsNonDate="0" containsDate="1" containsString="0" minDate="2013-07-01T00:00:00" maxDate="2021-05-02T00:00:00"/>
    </cacheField>
    <cacheField name="W/Back" numFmtId="167">
      <sharedItems containsString="0" containsBlank="1" containsNumber="1" minValue="0" maxValue="2358763.7200000002"/>
    </cacheField>
    <cacheField name="Member Consolations" numFmtId="167">
      <sharedItems containsString="0" containsBlank="1" containsNumber="1" minValue="0" maxValue="36959.99"/>
    </cacheField>
    <cacheField name="Seniors Promotion" numFmtId="167">
      <sharedItems containsString="0" containsBlank="1" containsNumber="1" minValue="0" maxValue="78095.929999999993"/>
    </cacheField>
    <cacheField name="MAIL OUTS" numFmtId="167">
      <sharedItems containsString="0" containsBlank="1" containsNumber="1" minValue="18845.669999999998" maxValue="690825.9"/>
    </cacheField>
    <cacheField name="MATCHPLAY" numFmtId="167">
      <sharedItems containsString="0" containsBlank="1" containsNumber="1" minValue="148521.72" maxValue="5922068.7400000002"/>
    </cacheField>
    <cacheField name="MISCELLANEOUS" numFmtId="167">
      <sharedItems containsString="0" containsBlank="1" containsNumber="1" minValue="0.27" maxValue="429102.95"/>
    </cacheField>
    <cacheField name="RANDOM RICHES PROMO" numFmtId="167">
      <sharedItems containsBlank="1" containsMixedTypes="1" containsNumber="1" minValue="27" maxValue="598134.25"/>
    </cacheField>
    <cacheField name="CONSOLATION PRIZES" numFmtId="167">
      <sharedItems containsBlank="1" containsMixedTypes="1" containsNumber="1" minValue="0" maxValue="237257.57"/>
    </cacheField>
    <cacheField name="POKIE CREDIT TCKT TOTAL" numFmtId="167">
      <sharedItems containsString="0" containsBlank="1" containsNumber="1" containsInteger="1" minValue="5215" maxValue="61250"/>
    </cacheField>
    <cacheField name="PROMOTIONAL TICKETS" numFmtId="0">
      <sharedItems containsString="0" containsBlank="1" containsNumber="1" containsInteger="1" minValue="56200" maxValue="68630"/>
    </cacheField>
    <cacheField name="Total" numFmtId="167">
      <sharedItems containsSemiMixedTypes="0" containsString="0" containsNumber="1" minValue="0" maxValue="8154499.8000000007"/>
    </cacheField>
    <cacheField name="Total FY" numFmtId="167">
      <sharedItems containsString="0" containsBlank="1" containsNumber="1" minValue="1006529.5300000012" maxValue="81412039.729999989"/>
    </cacheField>
    <cacheField name="VARIANCE TO JOSE'S FIGURE" numFmtId="0">
      <sharedItems containsString="0" containsBlank="1" containsNumber="1" minValue="426935.25" maxValue="2300740.72999998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
  <r>
    <x v="0"/>
    <x v="0"/>
    <n v="3967418646.04"/>
    <n v="323348200.51999998"/>
    <n v="0"/>
    <n v="37633879.5"/>
  </r>
  <r>
    <x v="0"/>
    <x v="1"/>
    <n v="3967418646.04"/>
    <n v="323348200.51999998"/>
    <n v="0"/>
    <n v="15681679.42"/>
  </r>
  <r>
    <x v="0"/>
    <x v="2"/>
    <n v="3967418646.04"/>
    <n v="323348200.51999998"/>
    <n v="0"/>
    <n v="580233.84"/>
  </r>
  <r>
    <x v="0"/>
    <x v="3"/>
    <n v="3967418646.04"/>
    <n v="323348200.51999998"/>
    <n v="0"/>
    <n v="507714.65"/>
  </r>
  <r>
    <x v="0"/>
    <x v="4"/>
    <n v="3967418646.04"/>
    <n v="323348200.51999998"/>
    <n v="0"/>
    <n v="6962530.0499999998"/>
  </r>
  <r>
    <x v="0"/>
    <x v="5"/>
    <n v="3967418646.04"/>
    <n v="323348200.51999998"/>
    <n v="0"/>
    <n v="213291.55"/>
  </r>
  <r>
    <x v="0"/>
    <x v="6"/>
    <n v="3967418646.04"/>
    <n v="323348200.51999998"/>
    <n v="0"/>
    <n v="640388.36"/>
  </r>
  <r>
    <x v="0"/>
    <x v="7"/>
    <n v="3967418646.04"/>
    <n v="323348200.51999998"/>
    <n v="0"/>
    <n v="2865.7"/>
  </r>
  <r>
    <x v="0"/>
    <x v="8"/>
    <n v="3967418646.04"/>
    <n v="323348200.51999998"/>
    <n v="0"/>
    <n v="796.4"/>
  </r>
  <r>
    <x v="1"/>
    <x v="0"/>
    <n v="4366686874.21"/>
    <n v="364084420.60000002"/>
    <n v="0"/>
    <n v="39013724.960000001"/>
  </r>
  <r>
    <x v="1"/>
    <x v="1"/>
    <n v="4366686874.21"/>
    <n v="364084420.60000002"/>
    <n v="0"/>
    <n v="19153429.449999999"/>
  </r>
  <r>
    <x v="1"/>
    <x v="2"/>
    <n v="4366686874.21"/>
    <n v="364084420.60000002"/>
    <n v="0"/>
    <n v="606594.77"/>
  </r>
  <r>
    <x v="1"/>
    <x v="3"/>
    <n v="4366686874.21"/>
    <n v="364084420.60000002"/>
    <n v="0"/>
    <n v="418983.99"/>
  </r>
  <r>
    <x v="1"/>
    <x v="4"/>
    <n v="4366686874.21"/>
    <n v="364084420.60000002"/>
    <n v="0"/>
    <n v="7076678.1399999997"/>
  </r>
  <r>
    <x v="1"/>
    <x v="5"/>
    <n v="4366686874.21"/>
    <n v="364084420.60000002"/>
    <n v="0"/>
    <n v="285653.92"/>
  </r>
  <r>
    <x v="1"/>
    <x v="6"/>
    <n v="4366686874.21"/>
    <n v="364084420.60000002"/>
    <n v="0"/>
    <n v="587037.49"/>
  </r>
  <r>
    <x v="1"/>
    <x v="7"/>
    <n v="4366686874.21"/>
    <n v="364084420.60000002"/>
    <n v="0"/>
    <n v="98.77"/>
  </r>
  <r>
    <x v="1"/>
    <x v="8"/>
    <n v="4366686874.21"/>
    <n v="364084420.60000002"/>
    <n v="0"/>
    <n v="1753.26"/>
  </r>
  <r>
    <x v="2"/>
    <x v="0"/>
    <n v="4352968473.7200003"/>
    <n v="367531498.35000002"/>
    <n v="0"/>
    <n v="41588228.039999999"/>
  </r>
  <r>
    <x v="2"/>
    <x v="1"/>
    <n v="4352968473.7200003"/>
    <n v="367531498.35000002"/>
    <n v="0"/>
    <n v="22442481.030000001"/>
  </r>
  <r>
    <x v="2"/>
    <x v="2"/>
    <n v="4352968473.7200003"/>
    <n v="367531498.35000002"/>
    <n v="0"/>
    <n v="237411.12"/>
  </r>
  <r>
    <x v="2"/>
    <x v="3"/>
    <n v="4352968473.7200003"/>
    <n v="367531498.35000002"/>
    <n v="0"/>
    <n v="270566.62"/>
  </r>
  <r>
    <x v="2"/>
    <x v="4"/>
    <n v="4352968473.7200003"/>
    <n v="367531498.35000002"/>
    <n v="0"/>
    <n v="6610009.5499999998"/>
  </r>
  <r>
    <x v="2"/>
    <x v="5"/>
    <n v="4352968473.7200003"/>
    <n v="367531498.35000002"/>
    <n v="0"/>
    <n v="339149.69"/>
  </r>
  <r>
    <x v="2"/>
    <x v="6"/>
    <n v="4352968473.7200003"/>
    <n v="367531498.35000002"/>
    <n v="0"/>
    <n v="181646.26"/>
  </r>
  <r>
    <x v="2"/>
    <x v="7"/>
    <n v="4352968473.7200003"/>
    <n v="367531498.35000002"/>
    <n v="0"/>
    <n v="26.32"/>
  </r>
  <r>
    <x v="2"/>
    <x v="8"/>
    <n v="4352968473.7200003"/>
    <n v="367531498.35000002"/>
    <n v="0"/>
    <n v="171239.45"/>
  </r>
  <r>
    <x v="3"/>
    <x v="0"/>
    <n v="4445573703.5799999"/>
    <n v="375232895.51999998"/>
    <n v="0"/>
    <n v="40316901.700000003"/>
  </r>
  <r>
    <x v="3"/>
    <x v="1"/>
    <n v="4445573703.5799999"/>
    <n v="375232895.51999998"/>
    <n v="0"/>
    <n v="21046201.260000002"/>
  </r>
  <r>
    <x v="3"/>
    <x v="3"/>
    <n v="4445573703.5799999"/>
    <n v="375232895.51999998"/>
    <n v="0"/>
    <n v="0.02"/>
  </r>
  <r>
    <x v="3"/>
    <x v="4"/>
    <n v="4445573703.5799999"/>
    <n v="375232895.51999998"/>
    <n v="0"/>
    <n v="6918767.6600000001"/>
  </r>
  <r>
    <x v="3"/>
    <x v="5"/>
    <n v="4445573703.5799999"/>
    <n v="375232895.51999998"/>
    <n v="0"/>
    <n v="372557.19"/>
  </r>
  <r>
    <x v="3"/>
    <x v="6"/>
    <n v="4445573703.5799999"/>
    <n v="375232895.51999998"/>
    <n v="0"/>
    <n v="6913.01"/>
  </r>
  <r>
    <x v="3"/>
    <x v="7"/>
    <n v="4445573703.5799999"/>
    <n v="375232895.51999998"/>
    <n v="0"/>
    <n v="24.06"/>
  </r>
  <r>
    <x v="3"/>
    <x v="8"/>
    <n v="4445573703.5799999"/>
    <n v="375232895.51999998"/>
    <n v="0"/>
    <n v="1017.72"/>
  </r>
  <r>
    <x v="4"/>
    <x v="0"/>
    <n v="4613581411.3599997"/>
    <n v="387899089.68000001"/>
    <n v="0"/>
    <n v="38866215.829999998"/>
  </r>
  <r>
    <x v="4"/>
    <x v="1"/>
    <n v="4613581411.3599997"/>
    <n v="387899089.68000001"/>
    <n v="0"/>
    <n v="22435844.100000001"/>
  </r>
  <r>
    <x v="4"/>
    <x v="4"/>
    <n v="4613581411.3599997"/>
    <n v="387899089.68000001"/>
    <n v="0"/>
    <n v="3683523.53"/>
  </r>
  <r>
    <x v="4"/>
    <x v="5"/>
    <n v="4613581411.3599997"/>
    <n v="387899089.68000001"/>
    <n v="0"/>
    <n v="392861.34"/>
  </r>
  <r>
    <x v="4"/>
    <x v="6"/>
    <n v="4613581411.3599997"/>
    <n v="387899089.68000001"/>
    <n v="0"/>
    <n v="3978.45"/>
  </r>
  <r>
    <x v="4"/>
    <x v="7"/>
    <n v="4613581411.3599997"/>
    <n v="387899089.68000001"/>
    <n v="0"/>
    <n v="11.57"/>
  </r>
  <r>
    <x v="4"/>
    <x v="8"/>
    <n v="4613581411.3599997"/>
    <n v="387899089.68000001"/>
    <n v="0"/>
    <n v="2252.06"/>
  </r>
  <r>
    <x v="5"/>
    <x v="0"/>
    <n v="4723013429.3599997"/>
    <n v="407073950.49000001"/>
    <n v="0"/>
    <n v="36764143.990000002"/>
  </r>
  <r>
    <x v="5"/>
    <x v="1"/>
    <n v="4723013429.3599997"/>
    <n v="407073950.49000001"/>
    <n v="0"/>
    <n v="23557720.710000001"/>
  </r>
  <r>
    <x v="5"/>
    <x v="4"/>
    <n v="4723013429.3599997"/>
    <n v="407073950.49000001"/>
    <n v="0"/>
    <n v="2074728.59"/>
  </r>
  <r>
    <x v="5"/>
    <x v="5"/>
    <n v="4723013429.3599997"/>
    <n v="407073950.49000001"/>
    <n v="0"/>
    <n v="318298.88"/>
  </r>
  <r>
    <x v="5"/>
    <x v="6"/>
    <n v="4723013429.3599997"/>
    <n v="407073950.49000001"/>
    <n v="0"/>
    <n v="3313.49"/>
  </r>
  <r>
    <x v="5"/>
    <x v="7"/>
    <n v="4723013429.3599997"/>
    <n v="407073950.49000001"/>
    <n v="0"/>
    <n v="213931.8"/>
  </r>
  <r>
    <x v="5"/>
    <x v="8"/>
    <n v="4723013429.3599997"/>
    <n v="407073950.49000001"/>
    <n v="0"/>
    <n v="1532.32"/>
  </r>
  <r>
    <x v="6"/>
    <x v="0"/>
    <n v="4988007891.8699999"/>
    <n v="434415889.69"/>
    <n v="0"/>
    <n v="32965488.02"/>
  </r>
  <r>
    <x v="6"/>
    <x v="1"/>
    <n v="4988007891.8699999"/>
    <n v="434415889.69"/>
    <n v="0"/>
    <n v="27089175.260000002"/>
  </r>
  <r>
    <x v="6"/>
    <x v="4"/>
    <n v="4988007891.8699999"/>
    <n v="434415889.69"/>
    <n v="0"/>
    <n v="1280195.29"/>
  </r>
  <r>
    <x v="6"/>
    <x v="5"/>
    <n v="4988007891.8699999"/>
    <n v="434415889.69"/>
    <n v="0"/>
    <n v="346004.7"/>
  </r>
  <r>
    <x v="6"/>
    <x v="6"/>
    <n v="4988007891.8699999"/>
    <n v="434415889.69"/>
    <n v="0"/>
    <n v="58"/>
  </r>
  <r>
    <x v="6"/>
    <x v="7"/>
    <n v="4988007891.8699999"/>
    <n v="434415889.69"/>
    <n v="0"/>
    <n v="1131064.8"/>
  </r>
  <r>
    <x v="6"/>
    <x v="8"/>
    <n v="4988007891.8699999"/>
    <n v="434415889.69"/>
    <n v="0"/>
    <n v="212782.48"/>
  </r>
  <r>
    <x v="7"/>
    <x v="0"/>
    <n v="5113108047.9899998"/>
    <n v="448832810.55000001"/>
    <n v="0"/>
    <n v="30526825.02"/>
  </r>
  <r>
    <x v="7"/>
    <x v="1"/>
    <n v="5113108047.9899998"/>
    <n v="448832810.55000001"/>
    <n v="0"/>
    <n v="29691526.02"/>
  </r>
  <r>
    <x v="7"/>
    <x v="4"/>
    <n v="5113108047.9899998"/>
    <n v="448832810.55000001"/>
    <n v="0"/>
    <n v="1164470.1599999999"/>
  </r>
  <r>
    <x v="7"/>
    <x v="5"/>
    <n v="5113108047.9899998"/>
    <n v="448832810.55000001"/>
    <n v="0"/>
    <n v="34450"/>
  </r>
  <r>
    <x v="7"/>
    <x v="7"/>
    <n v="5113108047.9899998"/>
    <n v="448832810.55000001"/>
    <n v="0"/>
    <n v="47633.25"/>
  </r>
  <r>
    <x v="7"/>
    <x v="8"/>
    <n v="5113108047.9899998"/>
    <n v="448832810.55000001"/>
    <n v="0"/>
    <n v="142063.82"/>
  </r>
  <r>
    <x v="8"/>
    <x v="0"/>
    <n v="5111331229.8400002"/>
    <n v="442365887.73000002"/>
    <n v="7444824.2800000003"/>
    <n v="25502490.579999998"/>
  </r>
  <r>
    <x v="8"/>
    <x v="1"/>
    <n v="5111331229.8400002"/>
    <n v="442365887.73000002"/>
    <n v="7444824.2800000003"/>
    <n v="34318658.659999996"/>
  </r>
  <r>
    <x v="8"/>
    <x v="4"/>
    <n v="5111331229.8400002"/>
    <n v="442365887.73000002"/>
    <n v="7444824.2800000003"/>
    <n v="1287715.49"/>
  </r>
  <r>
    <x v="8"/>
    <x v="5"/>
    <n v="5111331229.8400002"/>
    <n v="442365887.73000002"/>
    <n v="7444824.2800000003"/>
    <n v="150.01"/>
  </r>
  <r>
    <x v="8"/>
    <x v="7"/>
    <n v="5111331229.8400002"/>
    <n v="442365887.73000002"/>
    <n v="7444824.2800000003"/>
    <n v="80.25"/>
  </r>
  <r>
    <x v="8"/>
    <x v="8"/>
    <n v="5111331229.8400002"/>
    <n v="442365887.73000002"/>
    <n v="7444824.2800000003"/>
    <n v="229925.7"/>
  </r>
  <r>
    <x v="9"/>
    <x v="0"/>
    <n v="5177345265.75"/>
    <n v="431223118.99000001"/>
    <n v="11102225.42"/>
    <n v="25407254.210000001"/>
  </r>
  <r>
    <x v="9"/>
    <x v="1"/>
    <n v="5177345265.75"/>
    <n v="431223118.99000001"/>
    <n v="11102225.42"/>
    <n v="42937953.509999998"/>
  </r>
  <r>
    <x v="9"/>
    <x v="4"/>
    <n v="5177345265.75"/>
    <n v="431223118.99000001"/>
    <n v="11102225.42"/>
    <n v="2695808.22"/>
  </r>
  <r>
    <x v="9"/>
    <x v="5"/>
    <n v="5177345265.75"/>
    <n v="431223118.99000001"/>
    <n v="11102225.42"/>
    <n v="50"/>
  </r>
  <r>
    <x v="9"/>
    <x v="7"/>
    <n v="5177345265.75"/>
    <n v="431223118.99000001"/>
    <n v="11102225.42"/>
    <n v="25.06"/>
  </r>
  <r>
    <x v="9"/>
    <x v="8"/>
    <n v="5177345265.75"/>
    <n v="431223118.99000001"/>
    <n v="11102225.42"/>
    <n v="76005.320000000007"/>
  </r>
  <r>
    <x v="10"/>
    <x v="0"/>
    <n v="5402537959.9499998"/>
    <n v="446278627.00999999"/>
    <n v="12603982.529999999"/>
    <n v="26737160.600000001"/>
  </r>
  <r>
    <x v="10"/>
    <x v="1"/>
    <n v="5402537959.9499998"/>
    <n v="446278627.00999999"/>
    <n v="12603982.529999999"/>
    <n v="46678085.299999997"/>
  </r>
  <r>
    <x v="10"/>
    <x v="4"/>
    <n v="5402537959.9499998"/>
    <n v="446278627.00999999"/>
    <n v="12603982.529999999"/>
    <n v="2786141.99"/>
  </r>
  <r>
    <x v="10"/>
    <x v="5"/>
    <n v="5402537959.9499998"/>
    <n v="446278627.00999999"/>
    <n v="12603982.529999999"/>
    <n v="50"/>
  </r>
  <r>
    <x v="10"/>
    <x v="7"/>
    <n v="5402537959.9499998"/>
    <n v="446278627.00999999"/>
    <n v="12603982.529999999"/>
    <n v="2.5499999999999998"/>
  </r>
  <r>
    <x v="10"/>
    <x v="8"/>
    <n v="5402537959.9499998"/>
    <n v="446278627.00999999"/>
    <n v="12603982.529999999"/>
    <n v="376000.34"/>
  </r>
  <r>
    <x v="11"/>
    <x v="0"/>
    <n v="5514933568.9899998"/>
    <n v="459432566.57999998"/>
    <n v="12624702.859999999"/>
    <n v="25956720.859999999"/>
  </r>
  <r>
    <x v="11"/>
    <x v="1"/>
    <n v="5514933568.9899998"/>
    <n v="459432566.57999998"/>
    <n v="12624702.859999999"/>
    <n v="45996120.5"/>
  </r>
  <r>
    <x v="11"/>
    <x v="4"/>
    <n v="5514933568.9899998"/>
    <n v="459432566.57999998"/>
    <n v="12624702.859999999"/>
    <n v="2985709.78"/>
  </r>
  <r>
    <x v="11"/>
    <x v="5"/>
    <n v="5514933568.9899998"/>
    <n v="459432566.57999998"/>
    <n v="12624702.859999999"/>
    <n v="36"/>
  </r>
  <r>
    <x v="11"/>
    <x v="7"/>
    <n v="5514933568.9899998"/>
    <n v="459432566.57999998"/>
    <n v="12624702.859999999"/>
    <n v="0.04"/>
  </r>
  <r>
    <x v="11"/>
    <x v="8"/>
    <n v="5514933568.9899998"/>
    <n v="459432566.57999998"/>
    <n v="12624702.859999999"/>
    <n v="1464424.15"/>
  </r>
  <r>
    <x v="12"/>
    <x v="0"/>
    <n v="5468326234.6000004"/>
    <n v="444962154.55000001"/>
    <n v="11221333.98"/>
    <n v="23675829.190000001"/>
  </r>
  <r>
    <x v="12"/>
    <x v="1"/>
    <n v="5468326234.6000004"/>
    <n v="444962154.55000001"/>
    <n v="11221333.98"/>
    <n v="52265720.539999999"/>
  </r>
  <r>
    <x v="12"/>
    <x v="4"/>
    <n v="5468326234.6000004"/>
    <n v="444962154.55000001"/>
    <n v="11221333.98"/>
    <n v="2552947.17"/>
  </r>
  <r>
    <x v="12"/>
    <x v="7"/>
    <n v="5468326234.6000004"/>
    <n v="444962154.55000001"/>
    <n v="11221333.98"/>
    <n v="7.0000000000000007E-2"/>
  </r>
  <r>
    <x v="12"/>
    <x v="8"/>
    <n v="5468326234.6000004"/>
    <n v="444962154.55000001"/>
    <n v="11221333.98"/>
    <n v="1504659.17"/>
  </r>
  <r>
    <x v="12"/>
    <x v="9"/>
    <n v="5468326234.6000004"/>
    <n v="444962154.55000001"/>
    <n v="11221333.98"/>
    <n v="272273.09000000003"/>
  </r>
  <r>
    <x v="13"/>
    <x v="0"/>
    <n v="5551893797.1499996"/>
    <n v="445511202.79000002"/>
    <n v="11761352.43"/>
    <n v="23406932.77"/>
  </r>
  <r>
    <x v="13"/>
    <x v="1"/>
    <n v="5551893797.1499996"/>
    <n v="445511202.79000002"/>
    <n v="11761352.43"/>
    <n v="51929922.799999997"/>
  </r>
  <r>
    <x v="13"/>
    <x v="4"/>
    <n v="5551893797.1499996"/>
    <n v="445511202.79000002"/>
    <n v="11761352.43"/>
    <n v="1427485"/>
  </r>
  <r>
    <x v="13"/>
    <x v="5"/>
    <n v="5551893797.1499996"/>
    <n v="445511202.79000002"/>
    <n v="11761352.43"/>
    <n v="50"/>
  </r>
  <r>
    <x v="13"/>
    <x v="7"/>
    <n v="5551893797.1499996"/>
    <n v="445511202.79000002"/>
    <n v="11761352.43"/>
    <n v="0.04"/>
  </r>
  <r>
    <x v="13"/>
    <x v="8"/>
    <n v="5551893797.1499996"/>
    <n v="445511202.79000002"/>
    <n v="11761352.43"/>
    <n v="1176614.08"/>
  </r>
  <r>
    <x v="13"/>
    <x v="9"/>
    <n v="5551893797.1499996"/>
    <n v="445511202.79000002"/>
    <n v="11761352.43"/>
    <n v="2737767.79"/>
  </r>
  <r>
    <x v="14"/>
    <x v="0"/>
    <n v="5851909080.8599997"/>
    <n v="459123839.61000001"/>
    <n v="12795304.5"/>
    <n v="23399562.489999998"/>
  </r>
  <r>
    <x v="14"/>
    <x v="1"/>
    <n v="5851909080.8599997"/>
    <n v="459123839.61000001"/>
    <n v="12795304.5"/>
    <n v="47654274.560000002"/>
  </r>
  <r>
    <x v="14"/>
    <x v="4"/>
    <n v="5851909080.8599997"/>
    <n v="459123839.61000001"/>
    <n v="12795304.5"/>
    <n v="1125731.94"/>
  </r>
  <r>
    <x v="14"/>
    <x v="7"/>
    <n v="5851909080.8599997"/>
    <n v="459123839.61000001"/>
    <n v="12795304.5"/>
    <n v="58164.56"/>
  </r>
  <r>
    <x v="14"/>
    <x v="8"/>
    <n v="5851909080.8599997"/>
    <n v="459123839.61000001"/>
    <n v="12795304.5"/>
    <n v="418367.21"/>
  </r>
  <r>
    <x v="14"/>
    <x v="9"/>
    <n v="5851909080.8599997"/>
    <n v="459123839.61000001"/>
    <n v="12795304.5"/>
    <n v="2911867.49"/>
  </r>
  <r>
    <x v="15"/>
    <x v="0"/>
    <n v="4460847923.75"/>
    <n v="339599506.88"/>
    <n v="8680347.8100000005"/>
    <n v="15874211.859999999"/>
  </r>
  <r>
    <x v="15"/>
    <x v="1"/>
    <n v="4460847923.75"/>
    <n v="339599506.88"/>
    <n v="8680347.8100000005"/>
    <n v="37828092.520000003"/>
  </r>
  <r>
    <x v="15"/>
    <x v="4"/>
    <n v="4460847923.75"/>
    <n v="339599506.88"/>
    <n v="8680347.8100000005"/>
    <n v="805340.31"/>
  </r>
  <r>
    <x v="15"/>
    <x v="5"/>
    <n v="4460847923.75"/>
    <n v="339599506.88"/>
    <n v="8680347.8100000005"/>
    <n v="50"/>
  </r>
  <r>
    <x v="15"/>
    <x v="7"/>
    <n v="4460847923.75"/>
    <n v="339599506.88"/>
    <n v="8680347.8100000005"/>
    <n v="26.98"/>
  </r>
  <r>
    <x v="15"/>
    <x v="8"/>
    <n v="4460847923.75"/>
    <n v="339599506.88"/>
    <n v="8680347.8100000005"/>
    <n v="886446.19"/>
  </r>
  <r>
    <x v="15"/>
    <x v="9"/>
    <n v="4460847923.75"/>
    <n v="339599506.88"/>
    <n v="8680347.8100000005"/>
    <n v="2010621.48"/>
  </r>
  <r>
    <x v="16"/>
    <x v="0"/>
    <n v="846517891.42999995"/>
    <n v="67863722.629999995"/>
    <n v="1226417.51"/>
    <n v="156111"/>
  </r>
  <r>
    <x v="16"/>
    <x v="1"/>
    <n v="846517891.42999995"/>
    <n v="67863722.629999995"/>
    <n v="1226417.51"/>
    <n v="4841240.5199999996"/>
  </r>
  <r>
    <x v="16"/>
    <x v="8"/>
    <n v="846517891.42999995"/>
    <n v="67863722.629999995"/>
    <n v="1226417.51"/>
    <n v="783.24"/>
  </r>
  <r>
    <x v="16"/>
    <x v="9"/>
    <n v="846517891.42999995"/>
    <n v="67863722.629999995"/>
    <n v="1226417.51"/>
    <n v="1279.24"/>
  </r>
  <r>
    <x v="17"/>
    <x v="10"/>
    <n v="79956001430.449997"/>
    <n v="6644779382.1700001"/>
    <n v="89460491.319999993"/>
    <n v="1107179510.8199999"/>
  </r>
</pivotCacheRecords>
</file>

<file path=xl/pivotCache/pivotCacheRecords2.xml><?xml version="1.0" encoding="utf-8"?>
<pivotCacheRecords xmlns="http://schemas.openxmlformats.org/spreadsheetml/2006/main" xmlns:r="http://schemas.openxmlformats.org/officeDocument/2006/relationships" count="116">
  <r>
    <x v="0"/>
    <x v="0"/>
    <n v="3967418646.04"/>
    <n v="323348200.51999998"/>
    <n v="349885592.270028"/>
    <n v="27100608"/>
    <n v="37633879.5"/>
  </r>
  <r>
    <x v="0"/>
    <x v="1"/>
    <n v="3967418646.04"/>
    <n v="323348200.51999998"/>
    <n v="349885592.270028"/>
    <n v="15688126"/>
    <n v="15681679.42"/>
  </r>
  <r>
    <x v="0"/>
    <x v="2"/>
    <n v="3967418646.04"/>
    <n v="323348200.51999998"/>
    <n v="349885592.270028"/>
    <n v="585149"/>
    <n v="580233.84"/>
  </r>
  <r>
    <x v="0"/>
    <x v="3"/>
    <n v="3967418646.04"/>
    <n v="323348200.51999998"/>
    <n v="349885592.270028"/>
    <n v="524110"/>
    <n v="507714.65"/>
  </r>
  <r>
    <x v="0"/>
    <x v="4"/>
    <n v="3967418646.04"/>
    <n v="323348200.51999998"/>
    <n v="349885592.270028"/>
    <n v="7084530"/>
    <n v="6962530.0499999998"/>
  </r>
  <r>
    <x v="0"/>
    <x v="5"/>
    <n v="3967418646.04"/>
    <n v="323348200.51999998"/>
    <n v="349885592.270028"/>
    <n v="216650"/>
    <n v="213291.55"/>
  </r>
  <r>
    <x v="0"/>
    <x v="6"/>
    <n v="3967418646.04"/>
    <n v="323348200.51999998"/>
    <n v="349885592.270028"/>
    <n v="693690"/>
    <n v="640388.36"/>
  </r>
  <r>
    <x v="0"/>
    <x v="7"/>
    <n v="3967418646.04"/>
    <n v="323348200.51999998"/>
    <n v="349885592.270028"/>
    <n v="0"/>
    <n v="2865.7"/>
  </r>
  <r>
    <x v="0"/>
    <x v="8"/>
    <n v="3967418646.04"/>
    <n v="323348200.51999998"/>
    <n v="349885592.270028"/>
    <n v="0"/>
    <n v="796.4"/>
  </r>
  <r>
    <x v="1"/>
    <x v="0"/>
    <n v="4366686874.21"/>
    <n v="364084420.60000002"/>
    <n v="392923402.46727502"/>
    <n v="28608578"/>
    <n v="39013724.960000001"/>
  </r>
  <r>
    <x v="1"/>
    <x v="1"/>
    <n v="4366686874.21"/>
    <n v="364084420.60000002"/>
    <n v="392923402.46727502"/>
    <n v="19167581.640000001"/>
    <n v="19153429.449999999"/>
  </r>
  <r>
    <x v="1"/>
    <x v="2"/>
    <n v="4366686874.21"/>
    <n v="364084420.60000002"/>
    <n v="392923402.46727502"/>
    <n v="615000"/>
    <n v="606594.77"/>
  </r>
  <r>
    <x v="1"/>
    <x v="3"/>
    <n v="4366686874.21"/>
    <n v="364084420.60000002"/>
    <n v="392923402.46727502"/>
    <n v="433285"/>
    <n v="418983.99"/>
  </r>
  <r>
    <x v="1"/>
    <x v="4"/>
    <n v="4366686874.21"/>
    <n v="364084420.60000002"/>
    <n v="392923402.46727502"/>
    <n v="7197495"/>
    <n v="7076678.1399999997"/>
  </r>
  <r>
    <x v="1"/>
    <x v="5"/>
    <n v="4366686874.21"/>
    <n v="364084420.60000002"/>
    <n v="392923402.46727502"/>
    <n v="287850"/>
    <n v="285653.92"/>
  </r>
  <r>
    <x v="1"/>
    <x v="6"/>
    <n v="4366686874.21"/>
    <n v="364084420.60000002"/>
    <n v="392923402.46727502"/>
    <n v="641815"/>
    <n v="587037.49"/>
  </r>
  <r>
    <x v="1"/>
    <x v="7"/>
    <n v="4366686874.21"/>
    <n v="364084420.60000002"/>
    <n v="392923402.46727502"/>
    <n v="0"/>
    <n v="98.77"/>
  </r>
  <r>
    <x v="1"/>
    <x v="8"/>
    <n v="4366686874.21"/>
    <n v="364084420.60000002"/>
    <n v="392923402.46727502"/>
    <n v="0"/>
    <n v="1753.26"/>
  </r>
  <r>
    <x v="2"/>
    <x v="0"/>
    <n v="4352968473.7200003"/>
    <n v="367531498.35000002"/>
    <n v="396622193.83998102"/>
    <n v="37618409"/>
    <n v="41588228.039999999"/>
  </r>
  <r>
    <x v="2"/>
    <x v="1"/>
    <n v="4352968473.7200003"/>
    <n v="367531498.35000002"/>
    <n v="396622193.83998102"/>
    <n v="22448587"/>
    <n v="22442481.030000001"/>
  </r>
  <r>
    <x v="2"/>
    <x v="2"/>
    <n v="4352968473.7200003"/>
    <n v="367531498.35000002"/>
    <n v="396622193.83998102"/>
    <n v="241232"/>
    <n v="237411.12"/>
  </r>
  <r>
    <x v="2"/>
    <x v="3"/>
    <n v="4352968473.7200003"/>
    <n v="367531498.35000002"/>
    <n v="396622193.83998102"/>
    <n v="279960"/>
    <n v="270566.62"/>
  </r>
  <r>
    <x v="2"/>
    <x v="4"/>
    <n v="4352968473.7200003"/>
    <n v="367531498.35000002"/>
    <n v="396622193.83998102"/>
    <n v="6731198"/>
    <n v="6610009.5499999998"/>
  </r>
  <r>
    <x v="2"/>
    <x v="5"/>
    <n v="4352968473.7200003"/>
    <n v="367531498.35000002"/>
    <n v="396622193.83998102"/>
    <n v="342700"/>
    <n v="339149.69"/>
  </r>
  <r>
    <x v="2"/>
    <x v="6"/>
    <n v="4352968473.7200003"/>
    <n v="367531498.35000002"/>
    <n v="396622193.83998102"/>
    <n v="197160"/>
    <n v="181646.26"/>
  </r>
  <r>
    <x v="2"/>
    <x v="7"/>
    <n v="4352968473.7200003"/>
    <n v="367531498.35000002"/>
    <n v="396622193.83998102"/>
    <n v="0"/>
    <n v="26.32"/>
  </r>
  <r>
    <x v="2"/>
    <x v="8"/>
    <n v="4352968473.7200003"/>
    <n v="367531498.35000002"/>
    <n v="396622193.83998102"/>
    <n v="0"/>
    <n v="171239.45"/>
  </r>
  <r>
    <x v="3"/>
    <x v="0"/>
    <n v="4445573703.5799999"/>
    <n v="375232895.51999998"/>
    <n v="413544703.287256"/>
    <n v="40613652"/>
    <n v="40316901.700000003"/>
  </r>
  <r>
    <x v="3"/>
    <x v="1"/>
    <n v="4445573703.5799999"/>
    <n v="375232895.51999998"/>
    <n v="413544703.287256"/>
    <n v="21050329"/>
    <n v="21046201.260000002"/>
  </r>
  <r>
    <x v="3"/>
    <x v="3"/>
    <n v="4445573703.5799999"/>
    <n v="375232895.51999998"/>
    <n v="413544703.287256"/>
    <n v="0"/>
    <n v="0.02"/>
  </r>
  <r>
    <x v="3"/>
    <x v="4"/>
    <n v="4445573703.5799999"/>
    <n v="375232895.51999998"/>
    <n v="413544703.287256"/>
    <n v="7033710"/>
    <n v="6918767.6600000001"/>
  </r>
  <r>
    <x v="3"/>
    <x v="5"/>
    <n v="4445573703.5799999"/>
    <n v="375232895.51999998"/>
    <n v="413544703.287256"/>
    <n v="377700"/>
    <n v="372557.19"/>
  </r>
  <r>
    <x v="3"/>
    <x v="6"/>
    <n v="4445573703.5799999"/>
    <n v="375232895.51999998"/>
    <n v="413544703.287256"/>
    <n v="4680"/>
    <n v="6913.01"/>
  </r>
  <r>
    <x v="3"/>
    <x v="7"/>
    <n v="4445573703.5799999"/>
    <n v="375232895.51999998"/>
    <n v="413544703.287256"/>
    <n v="0"/>
    <n v="24.06"/>
  </r>
  <r>
    <x v="3"/>
    <x v="8"/>
    <n v="4445573703.5799999"/>
    <n v="375232895.51999998"/>
    <n v="413544703.287256"/>
    <n v="0"/>
    <n v="1017.72"/>
  </r>
  <r>
    <x v="4"/>
    <x v="0"/>
    <n v="4613581411.3599997"/>
    <n v="387899089.68000001"/>
    <n v="429780205.98739398"/>
    <n v="39117084"/>
    <n v="38866215.829999998"/>
  </r>
  <r>
    <x v="4"/>
    <x v="1"/>
    <n v="4613581411.3599997"/>
    <n v="387899089.68000001"/>
    <n v="429780205.98739398"/>
    <n v="22439172"/>
    <n v="22435844.100000001"/>
  </r>
  <r>
    <x v="4"/>
    <x v="4"/>
    <n v="4613581411.3599997"/>
    <n v="387899089.68000001"/>
    <n v="429780205.98739398"/>
    <n v="3772835"/>
    <n v="3683523.53"/>
  </r>
  <r>
    <x v="4"/>
    <x v="5"/>
    <n v="4613581411.3599997"/>
    <n v="387899089.68000001"/>
    <n v="429780205.98739398"/>
    <n v="397850"/>
    <n v="392861.34"/>
  </r>
  <r>
    <x v="4"/>
    <x v="6"/>
    <n v="4613581411.3599997"/>
    <n v="387899089.68000001"/>
    <n v="429780205.98739398"/>
    <n v="2815"/>
    <n v="3978.45"/>
  </r>
  <r>
    <x v="4"/>
    <x v="7"/>
    <n v="4613581411.3599997"/>
    <n v="387899089.68000001"/>
    <n v="429780205.98739398"/>
    <n v="0"/>
    <n v="11.57"/>
  </r>
  <r>
    <x v="4"/>
    <x v="8"/>
    <n v="4613581411.3599997"/>
    <n v="387899089.68000001"/>
    <n v="429780205.98739398"/>
    <n v="0"/>
    <n v="2252.06"/>
  </r>
  <r>
    <x v="5"/>
    <x v="0"/>
    <n v="4723013429.3599997"/>
    <n v="407073950.49000001"/>
    <n v="422660745.53432602"/>
    <n v="36958623"/>
    <n v="36764143.990000002"/>
  </r>
  <r>
    <x v="5"/>
    <x v="1"/>
    <n v="4723013429.3599997"/>
    <n v="407073950.49000001"/>
    <n v="422660745.53432602"/>
    <n v="23563733"/>
    <n v="23557720.710000001"/>
  </r>
  <r>
    <x v="5"/>
    <x v="4"/>
    <n v="4723013429.3599997"/>
    <n v="407073950.49000001"/>
    <n v="422660745.53432602"/>
    <n v="2157145"/>
    <n v="2074728.59"/>
  </r>
  <r>
    <x v="5"/>
    <x v="5"/>
    <n v="4723013429.3599997"/>
    <n v="407073950.49000001"/>
    <n v="422660745.53432602"/>
    <n v="322800"/>
    <n v="318298.88"/>
  </r>
  <r>
    <x v="5"/>
    <x v="6"/>
    <n v="4723013429.3599997"/>
    <n v="407073950.49000001"/>
    <n v="422660745.53432602"/>
    <n v="2415"/>
    <n v="3313.49"/>
  </r>
  <r>
    <x v="5"/>
    <x v="7"/>
    <n v="4723013429.3599997"/>
    <n v="407073950.49000001"/>
    <n v="422660745.53432602"/>
    <n v="0"/>
    <n v="213931.8"/>
  </r>
  <r>
    <x v="5"/>
    <x v="8"/>
    <n v="4723013429.3599997"/>
    <n v="407073950.49000001"/>
    <n v="422660745.53432602"/>
    <n v="0"/>
    <n v="1532.32"/>
  </r>
  <r>
    <x v="6"/>
    <x v="0"/>
    <n v="4988007891.8699999"/>
    <n v="434415889.69"/>
    <n v="428321297.734635"/>
    <n v="33217379"/>
    <n v="32965488.02"/>
  </r>
  <r>
    <x v="6"/>
    <x v="1"/>
    <n v="4988007891.8699999"/>
    <n v="434415889.69"/>
    <n v="428321297.734635"/>
    <n v="27099251"/>
    <n v="27089175.260000002"/>
  </r>
  <r>
    <x v="6"/>
    <x v="4"/>
    <n v="4988007891.8699999"/>
    <n v="434415889.69"/>
    <n v="428321297.734635"/>
    <n v="1335280"/>
    <n v="1280195.29"/>
  </r>
  <r>
    <x v="6"/>
    <x v="5"/>
    <n v="4988007891.8699999"/>
    <n v="434415889.69"/>
    <n v="428321297.734635"/>
    <n v="350800"/>
    <n v="346004.7"/>
  </r>
  <r>
    <x v="6"/>
    <x v="6"/>
    <n v="4988007891.8699999"/>
    <n v="434415889.69"/>
    <n v="428321297.734635"/>
    <n v="30"/>
    <n v="58"/>
  </r>
  <r>
    <x v="6"/>
    <x v="7"/>
    <n v="4988007891.8699999"/>
    <n v="434415889.69"/>
    <n v="428321297.734635"/>
    <n v="0"/>
    <n v="1131064.8"/>
  </r>
  <r>
    <x v="6"/>
    <x v="8"/>
    <n v="4988007891.8699999"/>
    <n v="434415889.69"/>
    <n v="428321297.734635"/>
    <n v="0"/>
    <n v="212782.48"/>
  </r>
  <r>
    <x v="7"/>
    <x v="0"/>
    <n v="5113108047.9899998"/>
    <n v="448832810.55000001"/>
    <n v="445042518.34756303"/>
    <n v="30762195"/>
    <n v="30526825.02"/>
  </r>
  <r>
    <x v="7"/>
    <x v="1"/>
    <n v="5113108047.9899998"/>
    <n v="448832810.55000001"/>
    <n v="445042518.34756303"/>
    <n v="29700522"/>
    <n v="29691526.02"/>
  </r>
  <r>
    <x v="7"/>
    <x v="4"/>
    <n v="5113108047.9899998"/>
    <n v="448832810.55000001"/>
    <n v="445042518.34756303"/>
    <n v="1197060"/>
    <n v="1164470.1599999999"/>
  </r>
  <r>
    <x v="7"/>
    <x v="5"/>
    <n v="5113108047.9899998"/>
    <n v="448832810.55000001"/>
    <n v="445042518.34756303"/>
    <n v="34750"/>
    <n v="34450"/>
  </r>
  <r>
    <x v="7"/>
    <x v="7"/>
    <n v="5113108047.9899998"/>
    <n v="448832810.55000001"/>
    <n v="445042518.34756303"/>
    <n v="0"/>
    <n v="47633.25"/>
  </r>
  <r>
    <x v="7"/>
    <x v="8"/>
    <n v="5113108047.9899998"/>
    <n v="448832810.55000001"/>
    <n v="445042518.34756303"/>
    <n v="0"/>
    <n v="142063.82"/>
  </r>
  <r>
    <x v="8"/>
    <x v="0"/>
    <n v="5111331229.8400002"/>
    <n v="442365887.73000002"/>
    <n v="439502890.78625602"/>
    <n v="25545330"/>
    <n v="25502490.579999998"/>
  </r>
  <r>
    <x v="8"/>
    <x v="1"/>
    <n v="5111331229.8400002"/>
    <n v="442365887.73000002"/>
    <n v="439502890.78625602"/>
    <n v="34327982"/>
    <n v="34318658.659999996"/>
  </r>
  <r>
    <x v="8"/>
    <x v="4"/>
    <n v="5111331229.8400002"/>
    <n v="442365887.73000002"/>
    <n v="439502890.78625602"/>
    <n v="1320370"/>
    <n v="1287715.49"/>
  </r>
  <r>
    <x v="8"/>
    <x v="5"/>
    <n v="5111331229.8400002"/>
    <n v="442365887.73000002"/>
    <n v="439502890.78625602"/>
    <n v="0"/>
    <n v="150.01"/>
  </r>
  <r>
    <x v="8"/>
    <x v="7"/>
    <n v="5111331229.8400002"/>
    <n v="442365887.73000002"/>
    <n v="439502890.78625602"/>
    <n v="0"/>
    <n v="80.25"/>
  </r>
  <r>
    <x v="8"/>
    <x v="8"/>
    <n v="5111331229.8400002"/>
    <n v="442365887.73000002"/>
    <n v="439502890.78625602"/>
    <n v="0"/>
    <n v="229925.7"/>
  </r>
  <r>
    <x v="9"/>
    <x v="0"/>
    <n v="5177345265.75"/>
    <n v="431223118.99000001"/>
    <n v="427607130.34602702"/>
    <n v="25454046"/>
    <n v="25407254.210000001"/>
  </r>
  <r>
    <x v="9"/>
    <x v="1"/>
    <n v="5177345265.75"/>
    <n v="431223118.99000001"/>
    <n v="427607130.34602702"/>
    <n v="42952970"/>
    <n v="42937953.509999998"/>
  </r>
  <r>
    <x v="9"/>
    <x v="4"/>
    <n v="5177345265.75"/>
    <n v="431223118.99000001"/>
    <n v="427607130.34602702"/>
    <n v="2750145"/>
    <n v="2695808.22"/>
  </r>
  <r>
    <x v="9"/>
    <x v="5"/>
    <n v="5177345265.75"/>
    <n v="431223118.99000001"/>
    <n v="427607130.34602702"/>
    <n v="0"/>
    <n v="50"/>
  </r>
  <r>
    <x v="9"/>
    <x v="7"/>
    <n v="5177345265.75"/>
    <n v="431223118.99000001"/>
    <n v="427607130.34602702"/>
    <n v="0"/>
    <n v="25.06"/>
  </r>
  <r>
    <x v="9"/>
    <x v="8"/>
    <n v="5177345265.75"/>
    <n v="431223118.99000001"/>
    <n v="427607130.34602702"/>
    <n v="0"/>
    <n v="76005.320000000007"/>
  </r>
  <r>
    <x v="10"/>
    <x v="0"/>
    <n v="5402537959.9499998"/>
    <n v="446278627.00999999"/>
    <n v="444248541.24415201"/>
    <n v="26806079"/>
    <n v="26737160.600000001"/>
  </r>
  <r>
    <x v="10"/>
    <x v="1"/>
    <n v="5402537959.9499998"/>
    <n v="446278627.00999999"/>
    <n v="444248541.24415201"/>
    <n v="46682770"/>
    <n v="46678085.299999997"/>
  </r>
  <r>
    <x v="10"/>
    <x v="4"/>
    <n v="5402537959.9499998"/>
    <n v="446278627.00999999"/>
    <n v="444248541.24415201"/>
    <n v="2851845"/>
    <n v="2786141.99"/>
  </r>
  <r>
    <x v="10"/>
    <x v="5"/>
    <n v="5402537959.9499998"/>
    <n v="446278627.00999999"/>
    <n v="444248541.24415201"/>
    <n v="0"/>
    <n v="50"/>
  </r>
  <r>
    <x v="10"/>
    <x v="7"/>
    <n v="5402537959.9499998"/>
    <n v="446278627.00999999"/>
    <n v="444248541.24415201"/>
    <n v="0"/>
    <n v="2.5499999999999998"/>
  </r>
  <r>
    <x v="10"/>
    <x v="8"/>
    <n v="5402537959.9499998"/>
    <n v="446278627.00999999"/>
    <n v="444248541.24415201"/>
    <n v="0"/>
    <n v="376000.34"/>
  </r>
  <r>
    <x v="11"/>
    <x v="0"/>
    <n v="5514933568.9899998"/>
    <n v="459432566.57999998"/>
    <n v="456136550.95014203"/>
    <n v="26118089"/>
    <n v="25956720.859999999"/>
  </r>
  <r>
    <x v="11"/>
    <x v="1"/>
    <n v="5514933568.9899998"/>
    <n v="459432566.57999998"/>
    <n v="456136550.95014203"/>
    <n v="46062877"/>
    <n v="45996120.5"/>
  </r>
  <r>
    <x v="11"/>
    <x v="4"/>
    <n v="5514933568.9899998"/>
    <n v="459432566.57999998"/>
    <n v="456136550.95014203"/>
    <n v="3153370"/>
    <n v="2985709.78"/>
  </r>
  <r>
    <x v="11"/>
    <x v="5"/>
    <n v="5514933568.9899998"/>
    <n v="459432566.57999998"/>
    <n v="456136550.95014203"/>
    <n v="0"/>
    <n v="36"/>
  </r>
  <r>
    <x v="11"/>
    <x v="7"/>
    <n v="5514933568.9899998"/>
    <n v="459432566.57999998"/>
    <n v="456136550.95014203"/>
    <n v="0"/>
    <n v="0.04"/>
  </r>
  <r>
    <x v="11"/>
    <x v="8"/>
    <n v="5514933568.9899998"/>
    <n v="459432566.57999998"/>
    <n v="456136550.95014203"/>
    <n v="0"/>
    <n v="1464424.15"/>
  </r>
  <r>
    <x v="12"/>
    <x v="0"/>
    <n v="5468326234.6000004"/>
    <n v="444962154.55000001"/>
    <n v="447540591.59805602"/>
    <n v="23816822"/>
    <n v="23675829.190000001"/>
  </r>
  <r>
    <x v="12"/>
    <x v="1"/>
    <n v="5468326234.6000004"/>
    <n v="444962154.55000001"/>
    <n v="447540591.59805602"/>
    <n v="52306205"/>
    <n v="52265720.539999999"/>
  </r>
  <r>
    <x v="12"/>
    <x v="4"/>
    <n v="5468326234.6000004"/>
    <n v="444962154.55000001"/>
    <n v="447540591.59805602"/>
    <n v="2716072"/>
    <n v="2552947.17"/>
  </r>
  <r>
    <x v="12"/>
    <x v="7"/>
    <n v="5468326234.6000004"/>
    <n v="444962154.55000001"/>
    <n v="447540591.59805602"/>
    <n v="0"/>
    <n v="7.0000000000000007E-2"/>
  </r>
  <r>
    <x v="12"/>
    <x v="8"/>
    <n v="5468326234.6000004"/>
    <n v="444962154.55000001"/>
    <n v="447540591.59805602"/>
    <n v="0"/>
    <n v="1504659.17"/>
  </r>
  <r>
    <x v="12"/>
    <x v="9"/>
    <n v="5468326234.6000004"/>
    <n v="444962154.55000001"/>
    <n v="447540591.59805602"/>
    <n v="272989"/>
    <n v="272273.09000000003"/>
  </r>
  <r>
    <x v="13"/>
    <x v="0"/>
    <n v="5551893797.1499996"/>
    <n v="445511202.79000002"/>
    <n v="442485150.25682902"/>
    <n v="23532688"/>
    <n v="23406932.77"/>
  </r>
  <r>
    <x v="13"/>
    <x v="1"/>
    <n v="5551893797.1499996"/>
    <n v="445511202.79000002"/>
    <n v="442485150.25682902"/>
    <n v="51945853"/>
    <n v="51930375.780000001"/>
  </r>
  <r>
    <x v="13"/>
    <x v="4"/>
    <n v="5551893797.1499996"/>
    <n v="445511202.79000002"/>
    <n v="442485150.25682902"/>
    <n v="1513082"/>
    <n v="1427485"/>
  </r>
  <r>
    <x v="13"/>
    <x v="5"/>
    <n v="5551893797.1499996"/>
    <n v="445511202.79000002"/>
    <n v="442485150.25682902"/>
    <n v="50"/>
    <n v="50"/>
  </r>
  <r>
    <x v="13"/>
    <x v="7"/>
    <n v="5551893797.1499996"/>
    <n v="445511202.79000002"/>
    <n v="442485150.25682902"/>
    <n v="0"/>
    <n v="0.04"/>
  </r>
  <r>
    <x v="13"/>
    <x v="8"/>
    <n v="5551893797.1499996"/>
    <n v="445511202.79000002"/>
    <n v="442485150.25682902"/>
    <n v="0"/>
    <n v="1176614.08"/>
  </r>
  <r>
    <x v="13"/>
    <x v="9"/>
    <n v="5551893797.1499996"/>
    <n v="445511202.79000002"/>
    <n v="442485150.25682902"/>
    <n v="2748170"/>
    <n v="2737767.79"/>
  </r>
  <r>
    <x v="14"/>
    <x v="0"/>
    <n v="5851909080.8599997"/>
    <n v="459123839.61000001"/>
    <n v="457781452.94600499"/>
    <n v="23523854"/>
    <n v="23399562.489999998"/>
  </r>
  <r>
    <x v="14"/>
    <x v="1"/>
    <n v="5851909080.8599997"/>
    <n v="459123839.61000001"/>
    <n v="457781452.94600499"/>
    <n v="47706841"/>
    <n v="47654274.560000002"/>
  </r>
  <r>
    <x v="14"/>
    <x v="4"/>
    <n v="5851909080.8599997"/>
    <n v="459123839.61000001"/>
    <n v="457781452.94600499"/>
    <n v="1187385"/>
    <n v="1125731.94"/>
  </r>
  <r>
    <x v="14"/>
    <x v="7"/>
    <n v="5851909080.8599997"/>
    <n v="459123839.61000001"/>
    <n v="457781452.94600499"/>
    <n v="0"/>
    <n v="58164.56"/>
  </r>
  <r>
    <x v="14"/>
    <x v="8"/>
    <n v="5851909080.8599997"/>
    <n v="459123839.61000001"/>
    <n v="457781452.94600499"/>
    <n v="0"/>
    <n v="418367.21"/>
  </r>
  <r>
    <x v="14"/>
    <x v="9"/>
    <n v="5851909080.8599997"/>
    <n v="459123839.61000001"/>
    <n v="457781452.94600499"/>
    <n v="2928867"/>
    <n v="2911867.49"/>
  </r>
  <r>
    <x v="15"/>
    <x v="0"/>
    <n v="4460847923.75"/>
    <n v="339599506.88"/>
    <n v="341105401.10797697"/>
    <n v="15959610"/>
    <n v="15874211.859999999"/>
  </r>
  <r>
    <x v="15"/>
    <x v="1"/>
    <n v="4460847923.75"/>
    <n v="339599506.88"/>
    <n v="341105401.10797697"/>
    <n v="37819676"/>
    <n v="37828092.520000003"/>
  </r>
  <r>
    <x v="15"/>
    <x v="4"/>
    <n v="4460847923.75"/>
    <n v="339599506.88"/>
    <n v="341105401.10797697"/>
    <n v="841885"/>
    <n v="805340.31"/>
  </r>
  <r>
    <x v="15"/>
    <x v="5"/>
    <n v="4460847923.75"/>
    <n v="339599506.88"/>
    <n v="341105401.10797697"/>
    <n v="0"/>
    <n v="50"/>
  </r>
  <r>
    <x v="15"/>
    <x v="7"/>
    <n v="4460847923.75"/>
    <n v="339599506.88"/>
    <n v="341105401.10797697"/>
    <n v="0"/>
    <n v="26.98"/>
  </r>
  <r>
    <x v="15"/>
    <x v="8"/>
    <n v="4460847923.75"/>
    <n v="339599506.88"/>
    <n v="341105401.10797697"/>
    <n v="0"/>
    <n v="886446.19"/>
  </r>
  <r>
    <x v="15"/>
    <x v="9"/>
    <n v="4460847923.75"/>
    <n v="339599506.88"/>
    <n v="341105401.10797697"/>
    <n v="2021421"/>
    <n v="2010621.48"/>
  </r>
  <r>
    <x v="16"/>
    <x v="0"/>
    <n v="898497511.26999998"/>
    <n v="72025789.390000001"/>
    <n v="74109466.447522596"/>
    <n v="156395"/>
    <n v="156111"/>
  </r>
  <r>
    <x v="16"/>
    <x v="1"/>
    <n v="898497511.26999998"/>
    <n v="72025789.390000001"/>
    <n v="74109466.447522596"/>
    <n v="5193171"/>
    <n v="5195064.87"/>
  </r>
  <r>
    <x v="16"/>
    <x v="8"/>
    <n v="898497511.26999998"/>
    <n v="72025789.390000001"/>
    <n v="74109466.447522596"/>
    <n v="0"/>
    <n v="783.24"/>
  </r>
  <r>
    <x v="16"/>
    <x v="9"/>
    <n v="898497511.26999998"/>
    <n v="72025789.390000001"/>
    <n v="74109466.447522596"/>
    <n v="0"/>
    <n v="1287.81"/>
  </r>
</pivotCacheRecords>
</file>

<file path=xl/pivotCache/pivotCacheRecords3.xml><?xml version="1.0" encoding="utf-8"?>
<pivotCacheRecords xmlns="http://schemas.openxmlformats.org/spreadsheetml/2006/main" xmlns:r="http://schemas.openxmlformats.org/officeDocument/2006/relationships" count="95">
  <r>
    <x v="0"/>
    <d v="2013-07-01T00:00:00"/>
    <n v="2075165.736666667"/>
    <m/>
    <n v="75166.92333333334"/>
    <n v="228983.87000000002"/>
    <n v="3706484.0749999997"/>
    <n v="7836.5883333333331"/>
    <m/>
    <m/>
    <m/>
    <m/>
    <n v="6093637.1933333334"/>
    <m/>
    <m/>
  </r>
  <r>
    <x v="0"/>
    <d v="2013-08-01T00:00:00"/>
    <n v="2075165.736666667"/>
    <m/>
    <n v="75166.92333333334"/>
    <n v="228983.87000000002"/>
    <n v="3706484.0749999997"/>
    <n v="7836.5883333333331"/>
    <m/>
    <m/>
    <m/>
    <m/>
    <n v="6093637.1933333334"/>
    <m/>
    <m/>
  </r>
  <r>
    <x v="0"/>
    <d v="2013-09-01T00:00:00"/>
    <n v="2075165.736666667"/>
    <m/>
    <n v="75166.92333333334"/>
    <n v="228983.87000000002"/>
    <n v="3706484.0749999997"/>
    <n v="7836.5883333333331"/>
    <m/>
    <m/>
    <m/>
    <m/>
    <n v="6093637.1933333334"/>
    <m/>
    <m/>
  </r>
  <r>
    <x v="0"/>
    <d v="2013-10-01T00:00:00"/>
    <n v="2025763.41"/>
    <m/>
    <n v="75368.639999999999"/>
    <n v="152996.84"/>
    <n v="3589211.54"/>
    <n v="317.25"/>
    <m/>
    <m/>
    <m/>
    <m/>
    <n v="5843657.6799999997"/>
    <m/>
    <m/>
  </r>
  <r>
    <x v="0"/>
    <d v="2013-11-01T00:00:00"/>
    <n v="2033013.42"/>
    <m/>
    <n v="73131.070000000007"/>
    <n v="337293.89"/>
    <n v="3377824.44"/>
    <n v="41052.39"/>
    <m/>
    <m/>
    <m/>
    <m/>
    <n v="5862315.21"/>
    <m/>
    <m/>
  </r>
  <r>
    <x v="0"/>
    <d v="2013-12-01T00:00:00"/>
    <n v="2163038.81"/>
    <m/>
    <n v="75951.179999999993"/>
    <n v="157675.01999999999"/>
    <n v="4139532.7"/>
    <n v="3442.81"/>
    <m/>
    <m/>
    <m/>
    <m/>
    <n v="6539640.5200000005"/>
    <m/>
    <m/>
  </r>
  <r>
    <x v="0"/>
    <d v="2014-01-01T00:00:00"/>
    <n v="2184750.0800000001"/>
    <m/>
    <n v="78095.929999999993"/>
    <n v="111538.14"/>
    <n v="3621447.48"/>
    <n v="1492.98"/>
    <m/>
    <m/>
    <m/>
    <m/>
    <n v="5997324.6100000013"/>
    <m/>
    <m/>
  </r>
  <r>
    <x v="0"/>
    <d v="2014-02-01T00:00:00"/>
    <n v="1932090.88"/>
    <m/>
    <n v="72664.570000000007"/>
    <n v="306141.5"/>
    <n v="3848415.9"/>
    <n v="630.11"/>
    <m/>
    <m/>
    <m/>
    <m/>
    <n v="6159942.96"/>
    <m/>
    <m/>
  </r>
  <r>
    <x v="0"/>
    <d v="2014-03-01T00:00:00"/>
    <n v="2112337.8199999998"/>
    <m/>
    <n v="75790.149999999994"/>
    <n v="308257.83"/>
    <n v="3662472.39"/>
    <n v="83.99"/>
    <m/>
    <m/>
    <m/>
    <m/>
    <n v="6158942.1799999997"/>
    <m/>
    <m/>
  </r>
  <r>
    <x v="0"/>
    <d v="2014-04-01T00:00:00"/>
    <n v="2016119.9"/>
    <m/>
    <n v="71365.39"/>
    <n v="301596.59000000003"/>
    <n v="3419319.87"/>
    <n v="12.68"/>
    <m/>
    <m/>
    <m/>
    <m/>
    <n v="5808414.4299999997"/>
    <m/>
    <m/>
  </r>
  <r>
    <x v="0"/>
    <d v="2014-05-01T00:00:00"/>
    <n v="2016119.9"/>
    <m/>
    <n v="71365.39"/>
    <n v="301596.59000000003"/>
    <n v="3419319.87"/>
    <n v="12.68"/>
    <m/>
    <m/>
    <m/>
    <m/>
    <n v="5808414.4299999997"/>
    <m/>
    <m/>
  </r>
  <r>
    <x v="0"/>
    <d v="2014-06-01T00:00:00"/>
    <n v="2035137.16"/>
    <m/>
    <n v="69699.86"/>
    <n v="327954.57"/>
    <n v="3925046.22"/>
    <n v="2.13"/>
    <m/>
    <m/>
    <m/>
    <m/>
    <n v="6357839.9400000004"/>
    <n v="72817403.540000007"/>
    <n v="1690654.5400000066"/>
  </r>
  <r>
    <x v="1"/>
    <d v="2014-07-01T00:00:00"/>
    <n v="2102822.7999999998"/>
    <m/>
    <n v="69436.14"/>
    <n v="201159.36"/>
    <n v="3977280.35"/>
    <n v="4.2699999999999996"/>
    <m/>
    <m/>
    <m/>
    <m/>
    <n v="6350702.9199999999"/>
    <m/>
    <m/>
  </r>
  <r>
    <x v="1"/>
    <d v="2014-08-01T00:00:00"/>
    <n v="2227998.65"/>
    <m/>
    <n v="72335.72"/>
    <n v="293526.93"/>
    <n v="4152682.13"/>
    <n v="6.79"/>
    <m/>
    <m/>
    <m/>
    <m/>
    <n v="6746550.2199999997"/>
    <m/>
    <m/>
  </r>
  <r>
    <x v="1"/>
    <d v="2014-09-01T00:00:00"/>
    <n v="2077996.82"/>
    <m/>
    <n v="70517.7"/>
    <n v="275276.21000000002"/>
    <n v="4187873.81"/>
    <n v="0.27"/>
    <m/>
    <m/>
    <m/>
    <m/>
    <n v="6611664.8099999996"/>
    <m/>
    <m/>
  </r>
  <r>
    <x v="1"/>
    <d v="2014-10-01T00:00:00"/>
    <n v="2139047.7200000002"/>
    <m/>
    <n v="70658.14"/>
    <n v="239981.75"/>
    <n v="5086123.1399999997"/>
    <n v="58372.55"/>
    <m/>
    <m/>
    <m/>
    <m/>
    <n v="7594183.2999999998"/>
    <m/>
    <m/>
  </r>
  <r>
    <x v="1"/>
    <d v="2014-11-01T00:00:00"/>
    <n v="2171853.59"/>
    <m/>
    <n v="69235.850000000006"/>
    <n v="267965.57"/>
    <n v="3875123.52"/>
    <n v="190.5"/>
    <m/>
    <m/>
    <m/>
    <m/>
    <n v="6384369.0299999993"/>
    <m/>
    <m/>
  </r>
  <r>
    <x v="1"/>
    <d v="2014-12-01T00:00:00"/>
    <n v="2244637.7200000002"/>
    <m/>
    <n v="71877.14"/>
    <n v="192635.71"/>
    <n v="3825329.45"/>
    <n v="131.05000000000001"/>
    <m/>
    <m/>
    <m/>
    <m/>
    <n v="6334611.0700000003"/>
    <m/>
    <m/>
  </r>
  <r>
    <x v="1"/>
    <d v="2015-01-01T00:00:00"/>
    <n v="2358763.7200000002"/>
    <m/>
    <n v="74346.5"/>
    <n v="221632.2"/>
    <n v="3574867.9"/>
    <n v="27.54"/>
    <m/>
    <m/>
    <m/>
    <m/>
    <n v="6229637.8600000003"/>
    <m/>
    <m/>
  </r>
  <r>
    <x v="1"/>
    <d v="2015-02-01T00:00:00"/>
    <n v="2009257.05"/>
    <m/>
    <n v="68888.62"/>
    <n v="218417.54"/>
    <n v="3404273.25"/>
    <n v="235380.96"/>
    <m/>
    <m/>
    <m/>
    <m/>
    <n v="5936217.4199999999"/>
    <m/>
    <m/>
  </r>
  <r>
    <x v="1"/>
    <d v="2015-03-01T00:00:00"/>
    <n v="2197478.87"/>
    <m/>
    <n v="74705.509999999995"/>
    <n v="267846.38"/>
    <n v="3782323.07"/>
    <n v="80968.56"/>
    <m/>
    <m/>
    <m/>
    <m/>
    <n v="6403322.3899999997"/>
    <m/>
    <m/>
  </r>
  <r>
    <x v="1"/>
    <d v="2015-04-01T00:00:00"/>
    <n v="2065600.54"/>
    <m/>
    <n v="67390.13"/>
    <n v="158946.06"/>
    <n v="3743780.96"/>
    <n v="500.57"/>
    <m/>
    <m/>
    <m/>
    <m/>
    <n v="6036218.2599999998"/>
    <m/>
    <m/>
  </r>
  <r>
    <x v="1"/>
    <d v="2015-05-01T00:00:00"/>
    <n v="2187144.7799999998"/>
    <m/>
    <n v="71793.97"/>
    <n v="230972.3"/>
    <n v="3661101.61"/>
    <n v="278.18"/>
    <m/>
    <n v="72290.16"/>
    <m/>
    <m/>
    <n v="6223581"/>
    <m/>
    <m/>
  </r>
  <r>
    <x v="1"/>
    <d v="2015-06-01T00:00:00"/>
    <n v="2106957.16"/>
    <m/>
    <n v="68501.77"/>
    <n v="217985.58"/>
    <n v="3439831.91"/>
    <n v="139.1"/>
    <m/>
    <n v="77754.45"/>
    <m/>
    <m/>
    <n v="5911169.9699999997"/>
    <n v="76762228.25"/>
    <n v="426935.25"/>
  </r>
  <r>
    <x v="2"/>
    <d v="2015-07-01T00:00:00"/>
    <n v="2130771.91"/>
    <m/>
    <n v="66787.08"/>
    <n v="257739.4"/>
    <n v="3603457"/>
    <n v="49026.09"/>
    <s v="                                            -  "/>
    <s v="                                                        -  "/>
    <m/>
    <m/>
    <n v="6107781.4800000004"/>
    <m/>
    <m/>
  </r>
  <r>
    <x v="2"/>
    <d v="2015-08-01T00:00:00"/>
    <n v="2180432.83"/>
    <m/>
    <n v="68000.100000000006"/>
    <n v="189554.44"/>
    <n v="4404203.7699999996"/>
    <n v="74837.98"/>
    <m/>
    <s v="                                                        -  "/>
    <m/>
    <m/>
    <n v="6917029.1200000001"/>
    <m/>
    <m/>
  </r>
  <r>
    <x v="2"/>
    <d v="2015-09-01T00:00:00"/>
    <n v="2146650.9"/>
    <m/>
    <n v="66749.08"/>
    <n v="283063.2"/>
    <n v="3765993"/>
    <n v="182.91"/>
    <m/>
    <n v="36975.26"/>
    <m/>
    <m/>
    <n v="6299614.3499999996"/>
    <m/>
    <m/>
  </r>
  <r>
    <x v="2"/>
    <d v="2015-10-01T00:00:00"/>
    <n v="2140227.7200000002"/>
    <m/>
    <n v="69113.919999999998"/>
    <n v="240462.84"/>
    <n v="3652561.04"/>
    <n v="251997.55"/>
    <m/>
    <n v="130872.65"/>
    <m/>
    <m/>
    <n v="6485235.7199999997"/>
    <m/>
    <m/>
  </r>
  <r>
    <x v="2"/>
    <d v="2015-11-01T00:00:00"/>
    <n v="2013766.08"/>
    <m/>
    <n v="65651.960000000006"/>
    <n v="197242.03"/>
    <n v="3685366.89"/>
    <n v="195475.78"/>
    <m/>
    <s v="                                                        -  "/>
    <m/>
    <m/>
    <n v="6157502.7400000002"/>
    <m/>
    <m/>
  </r>
  <r>
    <x v="2"/>
    <d v="2015-12-01T00:00:00"/>
    <n v="2154319.89"/>
    <m/>
    <n v="72666.52"/>
    <n v="275925.95"/>
    <n v="4028581.76"/>
    <n v="83245.62"/>
    <m/>
    <n v="43804.67"/>
    <m/>
    <m/>
    <n v="6658544.4100000001"/>
    <m/>
    <m/>
  </r>
  <r>
    <x v="2"/>
    <d v="2016-01-01T00:00:00"/>
    <n v="2279256.4900000002"/>
    <m/>
    <n v="74085.97"/>
    <n v="268141.84999999998"/>
    <n v="4063867.85"/>
    <n v="78176.91"/>
    <m/>
    <n v="15903.1"/>
    <m/>
    <m/>
    <n v="6779432.1699999999"/>
    <m/>
    <m/>
  </r>
  <r>
    <x v="2"/>
    <d v="2016-02-01T00:00:00"/>
    <n v="1995304.55"/>
    <m/>
    <n v="67285.61"/>
    <n v="219140.1"/>
    <n v="3856383.78"/>
    <n v="292010.90999999997"/>
    <m/>
    <n v="46508.01"/>
    <m/>
    <m/>
    <n v="6476632.96"/>
    <m/>
    <m/>
  </r>
  <r>
    <x v="2"/>
    <d v="2016-03-01T00:00:00"/>
    <n v="2124100.37"/>
    <m/>
    <n v="69711.070000000007"/>
    <n v="211538.1"/>
    <n v="3678682.85"/>
    <n v="149420.04999999999"/>
    <m/>
    <n v="43881.86"/>
    <m/>
    <m/>
    <n v="6277334.3000000007"/>
    <m/>
    <m/>
  </r>
  <r>
    <x v="2"/>
    <d v="2016-04-01T00:00:00"/>
    <n v="2039859.42"/>
    <m/>
    <n v="65704.66"/>
    <n v="233009.74"/>
    <n v="4055281.43"/>
    <n v="171150.5"/>
    <m/>
    <n v="47497.59"/>
    <m/>
    <m/>
    <n v="6612503.3399999999"/>
    <m/>
    <m/>
  </r>
  <r>
    <x v="2"/>
    <d v="2016-05-01T00:00:00"/>
    <n v="1981591.31"/>
    <m/>
    <n v="67885.69"/>
    <n v="209263.54"/>
    <n v="3530375.02"/>
    <n v="118685"/>
    <m/>
    <n v="50846.239999999998"/>
    <m/>
    <m/>
    <n v="5958646.8000000007"/>
    <m/>
    <m/>
  </r>
  <r>
    <x v="2"/>
    <d v="2016-06-01T00:00:00"/>
    <n v="1955223.18"/>
    <m/>
    <n v="66028.149999999994"/>
    <n v="401047.6"/>
    <n v="3740960.57"/>
    <n v="214.86"/>
    <m/>
    <n v="214888.61"/>
    <m/>
    <m/>
    <n v="6378362.9700000007"/>
    <n v="77108620.360000014"/>
    <n v="1778080.3600000143"/>
  </r>
  <r>
    <x v="3"/>
    <d v="2016-07-01T00:00:00"/>
    <n v="2086014.28"/>
    <m/>
    <n v="70616.179999999993"/>
    <n v="225153.97"/>
    <n v="3974266.59"/>
    <n v="166529.31"/>
    <m/>
    <n v="47330.83"/>
    <m/>
    <m/>
    <n v="6569911.1599999992"/>
    <m/>
    <m/>
  </r>
  <r>
    <x v="3"/>
    <d v="2016-08-01T00:00:00"/>
    <n v="1960298.73"/>
    <m/>
    <n v="68033.679999999993"/>
    <n v="210256.8"/>
    <n v="3850398.69"/>
    <n v="266224.24"/>
    <m/>
    <n v="50826.39"/>
    <m/>
    <m/>
    <n v="6406038.5300000003"/>
    <m/>
    <m/>
  </r>
  <r>
    <x v="3"/>
    <d v="2016-09-01T00:00:00"/>
    <n v="2011197.82"/>
    <m/>
    <n v="67275.399999999994"/>
    <n v="173505.55"/>
    <n v="5026597.3"/>
    <n v="840.3"/>
    <m/>
    <n v="47448.91"/>
    <m/>
    <m/>
    <n v="7326865.2800000003"/>
    <m/>
    <m/>
  </r>
  <r>
    <x v="3"/>
    <d v="2016-10-01T00:00:00"/>
    <n v="1939329.07"/>
    <m/>
    <n v="70475.13"/>
    <n v="197065.31"/>
    <n v="5040607.32"/>
    <n v="59510.61"/>
    <m/>
    <n v="57275.6"/>
    <m/>
    <m/>
    <n v="7364263.04"/>
    <m/>
    <m/>
  </r>
  <r>
    <x v="3"/>
    <d v="2016-11-01T00:00:00"/>
    <n v="1801129.85"/>
    <m/>
    <n v="65756.37"/>
    <n v="100684.98"/>
    <n v="5426113.6900000004"/>
    <n v="99215.62"/>
    <n v="27"/>
    <n v="48716.87"/>
    <m/>
    <m/>
    <n v="7541644.3800000008"/>
    <m/>
    <m/>
  </r>
  <r>
    <x v="3"/>
    <d v="2016-12-01T00:00:00"/>
    <n v="1953444.08"/>
    <m/>
    <n v="70924.67"/>
    <n v="297322.12"/>
    <n v="4355022.59"/>
    <n v="173808.63"/>
    <m/>
    <n v="55878.2"/>
    <m/>
    <m/>
    <n v="6906400.29"/>
    <m/>
    <m/>
  </r>
  <r>
    <x v="3"/>
    <d v="2017-01-01T00:00:00"/>
    <n v="2101605.4"/>
    <m/>
    <n v="76943.600000000006"/>
    <n v="690825.9"/>
    <n v="4360825.3499999996"/>
    <n v="370105.9"/>
    <n v="1013.67"/>
    <n v="63720.5"/>
    <m/>
    <m/>
    <n v="7665040.3200000003"/>
    <m/>
    <m/>
  </r>
  <r>
    <x v="3"/>
    <d v="2017-02-01T00:00:00"/>
    <n v="1741916.31"/>
    <m/>
    <n v="67905.88"/>
    <n v="101525.44"/>
    <n v="4812055.47"/>
    <n v="92351.02"/>
    <n v="26939.67"/>
    <n v="106373.23"/>
    <m/>
    <m/>
    <n v="6949067.0199999996"/>
    <m/>
    <m/>
  </r>
  <r>
    <x v="3"/>
    <d v="2017-03-01T00:00:00"/>
    <n v="1878940.44"/>
    <m/>
    <n v="70312.72"/>
    <n v="134390.32999999999"/>
    <n v="3653869.08"/>
    <n v="395.28"/>
    <n v="58152.81"/>
    <n v="164299.63"/>
    <m/>
    <m/>
    <n v="5960360.29"/>
    <m/>
    <m/>
  </r>
  <r>
    <x v="3"/>
    <d v="2017-04-01T00:00:00"/>
    <n v="1875643.08"/>
    <m/>
    <n v="65676.320000000007"/>
    <n v="142309.46"/>
    <n v="3641606.39"/>
    <n v="54035.57"/>
    <n v="104518.84"/>
    <n v="145804.68"/>
    <m/>
    <m/>
    <n v="6029594.3399999999"/>
    <m/>
    <m/>
  </r>
  <r>
    <x v="3"/>
    <d v="2017-05-01T00:00:00"/>
    <n v="1783233.7"/>
    <m/>
    <n v="65609.279999999999"/>
    <n v="144841.54999999999"/>
    <n v="3931169.44"/>
    <n v="169208.36"/>
    <n v="40724.46"/>
    <n v="97010.91"/>
    <m/>
    <m/>
    <n v="6231797.7000000002"/>
    <m/>
    <m/>
  </r>
  <r>
    <x v="3"/>
    <d v="2017-06-01T00:00:00"/>
    <n v="1725122.12"/>
    <m/>
    <n v="62243.53"/>
    <n v="135551.76"/>
    <n v="4305926.26"/>
    <n v="52434.33"/>
    <n v="41211.660000000003"/>
    <n v="138567.72"/>
    <m/>
    <m/>
    <n v="6461057.3799999999"/>
    <n v="81412039.729999989"/>
    <n v="2300740.7299999893"/>
  </r>
  <r>
    <x v="4"/>
    <d v="2017-07-01T00:00:00"/>
    <n v="1846162.26"/>
    <n v="0.02"/>
    <n v="64784.69"/>
    <n v="184587.23"/>
    <n v="4549867.0199999996"/>
    <n v="213317.17"/>
    <n v="101777.35"/>
    <n v="237257.57"/>
    <m/>
    <m/>
    <n v="7197753.3099999996"/>
    <m/>
    <m/>
  </r>
  <r>
    <x v="4"/>
    <d v="2017-08-01T00:00:00"/>
    <n v="1848999.61"/>
    <m/>
    <n v="63128.05"/>
    <n v="187576.02"/>
    <n v="4366911.28"/>
    <n v="104231.47"/>
    <n v="181921.39"/>
    <n v="19782.36"/>
    <m/>
    <m/>
    <n v="6772550.1800000006"/>
    <m/>
    <m/>
  </r>
  <r>
    <x v="4"/>
    <d v="2017-09-01T00:00:00"/>
    <n v="1865804.58"/>
    <m/>
    <n v="63265.21"/>
    <n v="154434.4"/>
    <n v="3864713.71"/>
    <n v="77638.87"/>
    <n v="221090.82"/>
    <m/>
    <m/>
    <n v="62710"/>
    <n v="6309657.5900000008"/>
    <m/>
    <m/>
  </r>
  <r>
    <x v="4"/>
    <d v="2017-10-01T00:00:00"/>
    <n v="1865795.26"/>
    <m/>
    <n v="66022"/>
    <n v="111725.18"/>
    <n v="4576670.66"/>
    <n v="293812.19"/>
    <m/>
    <m/>
    <m/>
    <m/>
    <n v="6914025.29"/>
    <m/>
    <m/>
  </r>
  <r>
    <x v="4"/>
    <d v="2017-11-01T00:00:00"/>
    <n v="1827526.03"/>
    <m/>
    <n v="62773.43"/>
    <n v="90615.98"/>
    <n v="4813577.6399999997"/>
    <n v="2361.9499999999998"/>
    <n v="229622.44"/>
    <n v="83116.56"/>
    <m/>
    <n v="56200"/>
    <n v="7165794.0300000003"/>
    <m/>
    <m/>
  </r>
  <r>
    <x v="4"/>
    <d v="2017-12-01T00:00:00"/>
    <n v="1937232.34"/>
    <n v="0.01"/>
    <n v="64424.98"/>
    <n v="92420.94"/>
    <n v="4033517"/>
    <n v="266.64999999999998"/>
    <n v="186014.15"/>
    <n v="42551.03"/>
    <m/>
    <n v="68630"/>
    <n v="6425057.1000000006"/>
    <m/>
    <m/>
  </r>
  <r>
    <x v="4"/>
    <d v="2018-01-01T00:00:00"/>
    <n v="2038742.95"/>
    <m/>
    <n v="67233.789999999994"/>
    <n v="116152.72"/>
    <n v="4962698.9000000004"/>
    <n v="211084.75"/>
    <n v="198347.64"/>
    <n v="15751.38"/>
    <n v="58800"/>
    <m/>
    <n v="7668812.1299999999"/>
    <m/>
    <m/>
  </r>
  <r>
    <x v="4"/>
    <d v="2018-02-01T00:00:00"/>
    <n v="1775142.86"/>
    <m/>
    <n v="61417.8"/>
    <n v="93496.86"/>
    <n v="4383501.6399999997"/>
    <n v="211896.11"/>
    <n v="234897.83"/>
    <n v="7840.71"/>
    <n v="45025"/>
    <m/>
    <n v="6813218.8100000005"/>
    <m/>
    <m/>
  </r>
  <r>
    <x v="4"/>
    <d v="2018-03-01T00:00:00"/>
    <n v="1972270.65"/>
    <m/>
    <n v="64557.63"/>
    <n v="154530.07999999999"/>
    <n v="3733324.33"/>
    <n v="2688.15"/>
    <n v="180280.47"/>
    <n v="27590.18"/>
    <n v="52265"/>
    <m/>
    <n v="6187506.4899999993"/>
    <m/>
    <m/>
  </r>
  <r>
    <x v="4"/>
    <d v="2018-04-01T00:00:00"/>
    <n v="1915433.28"/>
    <n v="0.01"/>
    <n v="61324.33"/>
    <n v="119228.18"/>
    <n v="3748694.53"/>
    <n v="23158.74"/>
    <n v="204508.32"/>
    <n v="171441.88"/>
    <n v="47340"/>
    <m/>
    <n v="6291129.2700000005"/>
    <m/>
    <m/>
  </r>
  <r>
    <x v="4"/>
    <d v="2018-05-01T00:00:00"/>
    <n v="1878314.14"/>
    <m/>
    <n v="61739"/>
    <n v="70669.259999999995"/>
    <n v="4492968.24"/>
    <n v="2202.9"/>
    <n v="527292.51"/>
    <n v="14750.8"/>
    <n v="46885"/>
    <m/>
    <n v="7094821.8500000006"/>
    <m/>
    <m/>
  </r>
  <r>
    <x v="4"/>
    <d v="2018-06-01T00:00:00"/>
    <n v="1879355.24"/>
    <m/>
    <n v="58876.25"/>
    <n v="52068.15"/>
    <n v="4449108.12"/>
    <n v="34401.47"/>
    <n v="221619.83"/>
    <n v="3160.33"/>
    <n v="51240"/>
    <m/>
    <n v="6749829.3899999997"/>
    <n v="1851806.4399999976"/>
    <n v="1851806.4399999976"/>
  </r>
  <r>
    <x v="5"/>
    <d v="2018-07-01T00:00:00"/>
    <n v="1915120.3"/>
    <n v="21103.8"/>
    <n v="61808.47"/>
    <n v="86517.31"/>
    <n v="3240745.39"/>
    <n v="51.05"/>
    <n v="598134.25"/>
    <m/>
    <n v="50855"/>
    <m/>
    <n v="5974335.5700000003"/>
    <m/>
    <m/>
  </r>
  <r>
    <x v="5"/>
    <d v="2018-08-01T00:00:00"/>
    <n v="2001099.92"/>
    <n v="36959.99"/>
    <n v="61889.04"/>
    <n v="78745.75"/>
    <n v="4005318.49"/>
    <n v="16.89"/>
    <n v="308417.49"/>
    <n v="60189.11"/>
    <n v="48360"/>
    <m/>
    <n v="6600996.6799999997"/>
    <m/>
    <m/>
  </r>
  <r>
    <x v="5"/>
    <d v="2018-09-01T00:00:00"/>
    <n v="1864622.16"/>
    <n v="68.349999999999994"/>
    <n v="63910.59"/>
    <n v="89463.18"/>
    <n v="3287322.16"/>
    <n v="118.34"/>
    <n v="200239.45"/>
    <m/>
    <n v="43400"/>
    <m/>
    <n v="5549144.2300000004"/>
    <m/>
    <m/>
  </r>
  <r>
    <x v="5"/>
    <d v="2018-10-01T00:00:00"/>
    <n v="1854898.75"/>
    <n v="42.85"/>
    <n v="64749.17"/>
    <n v="82871.789999999994"/>
    <n v="4933150.0999999996"/>
    <n v="314.49"/>
    <n v="206110.18"/>
    <m/>
    <n v="39875"/>
    <m/>
    <n v="7182012.3300000001"/>
    <m/>
    <m/>
  </r>
  <r>
    <x v="5"/>
    <d v="2018-11-01T00:00:00"/>
    <n v="1823012.85"/>
    <n v="29.06"/>
    <n v="64186.54"/>
    <n v="69860.039999999994"/>
    <n v="3870084.79"/>
    <n v="16.37"/>
    <n v="188716.2"/>
    <m/>
    <n v="42960"/>
    <m/>
    <n v="6058865.8500000006"/>
    <m/>
    <m/>
  </r>
  <r>
    <x v="5"/>
    <d v="2018-12-01T00:00:00"/>
    <n v="1975328.05"/>
    <n v="9.99"/>
    <n v="69034.12"/>
    <n v="91576.38"/>
    <n v="3586965.85"/>
    <n v="34.020000000000003"/>
    <n v="198924.44"/>
    <m/>
    <n v="53670"/>
    <m/>
    <n v="5975542.8500000006"/>
    <m/>
    <m/>
  </r>
  <r>
    <x v="5"/>
    <d v="2019-01-01T00:00:00"/>
    <n v="1989857.86"/>
    <n v="6.31"/>
    <n v="69983.649999999994"/>
    <n v="121795.91"/>
    <n v="3211479.13"/>
    <n v="72.06"/>
    <n v="178252.3"/>
    <m/>
    <n v="44475"/>
    <m/>
    <n v="5615922.2199999988"/>
    <m/>
    <m/>
  </r>
  <r>
    <x v="5"/>
    <d v="2019-02-01T00:00:00"/>
    <n v="1787349.46"/>
    <n v="6.41"/>
    <n v="66033.039999999994"/>
    <n v="84220.479999999996"/>
    <n v="3195590.23"/>
    <n v="200223.69"/>
    <n v="201539.41"/>
    <n v="34638.879999999997"/>
    <n v="40960"/>
    <m/>
    <n v="5610561.6000000006"/>
    <m/>
    <m/>
  </r>
  <r>
    <x v="5"/>
    <d v="2019-03-01T00:00:00"/>
    <n v="1950262.96"/>
    <n v="0.8"/>
    <n v="67553.42"/>
    <n v="112426.04"/>
    <n v="4118942.8"/>
    <n v="900.59"/>
    <n v="228391.8"/>
    <n v="123724.78"/>
    <n v="46025"/>
    <m/>
    <n v="6648228.1899999995"/>
    <m/>
    <m/>
  </r>
  <r>
    <x v="5"/>
    <d v="2019-04-01T00:00:00"/>
    <n v="1897097"/>
    <n v="0.95"/>
    <n v="61947.44"/>
    <n v="94711.71"/>
    <n v="5313455.2699999996"/>
    <n v="70376.33"/>
    <n v="238901.52"/>
    <n v="39797.51"/>
    <n v="44790"/>
    <m/>
    <n v="7761077.7299999986"/>
    <m/>
    <m/>
  </r>
  <r>
    <x v="5"/>
    <d v="2019-05-01T00:00:00"/>
    <n v="1817567.14"/>
    <n v="0.16"/>
    <n v="65126.05"/>
    <n v="110913.91"/>
    <n v="3721730.59"/>
    <n v="68593.649999999994"/>
    <n v="178973.34"/>
    <n v="19680.810000000001"/>
    <n v="46010"/>
    <m/>
    <n v="6028595.6499999994"/>
    <m/>
    <m/>
  </r>
  <r>
    <x v="5"/>
    <d v="2019-06-01T00:00:00"/>
    <n v="1743157.48"/>
    <n v="1.31"/>
    <n v="67052.22"/>
    <n v="102754.44"/>
    <n v="5107274.92"/>
    <n v="77649.759999999995"/>
    <n v="200773.5"/>
    <m/>
    <n v="47960"/>
    <m/>
    <n v="7346623.6299999999"/>
    <n v="1006529.5300000012"/>
    <n v="1006529.5300000012"/>
  </r>
  <r>
    <x v="6"/>
    <d v="2019-07-01T00:00:00"/>
    <n v="1826017.96"/>
    <n v="8.8800000000000008"/>
    <n v="68044.740000000005"/>
    <n v="105677.19"/>
    <n v="3783053.79"/>
    <n v="429102.95"/>
    <n v="176877.24"/>
    <m/>
    <n v="48985"/>
    <m/>
    <n v="6437767.75"/>
    <m/>
    <m/>
  </r>
  <r>
    <x v="6"/>
    <d v="2019-08-01T00:00:00"/>
    <n v="1817819.86"/>
    <n v="0.06"/>
    <n v="65543.41"/>
    <n v="96529.3"/>
    <n v="3701672.16"/>
    <n v="2036.3"/>
    <n v="227316.31"/>
    <n v="134881.32"/>
    <n v="51210"/>
    <m/>
    <n v="6097008.7199999997"/>
    <m/>
    <m/>
  </r>
  <r>
    <x v="6"/>
    <d v="2019-09-01T00:00:00"/>
    <n v="1767903.37"/>
    <n v="0.13"/>
    <n v="63589.440000000002"/>
    <n v="102018.14"/>
    <n v="4967932.33"/>
    <n v="109738.37"/>
    <n v="243906.45"/>
    <n v="8509.4500000000007"/>
    <n v="46075"/>
    <m/>
    <n v="7309672.6800000006"/>
    <m/>
    <m/>
  </r>
  <r>
    <x v="6"/>
    <d v="2019-10-01T00:00:00"/>
    <n v="1768269.22"/>
    <n v="10.029999999999999"/>
    <n v="64816.46"/>
    <n v="97513.36"/>
    <n v="5922068.7400000002"/>
    <n v="36695.11"/>
    <n v="182184.88"/>
    <n v="37612"/>
    <n v="45330"/>
    <m/>
    <n v="8154499.8000000007"/>
    <m/>
    <m/>
  </r>
  <r>
    <x v="6"/>
    <d v="2019-11-01T00:00:00"/>
    <n v="1762037.01"/>
    <n v="1.96"/>
    <n v="62997.09"/>
    <n v="117799.2"/>
    <n v="3886843.92"/>
    <n v="242.7"/>
    <n v="275755.99"/>
    <n v="0"/>
    <n v="51995"/>
    <m/>
    <n v="6157672.8700000001"/>
    <m/>
    <m/>
  </r>
  <r>
    <x v="6"/>
    <d v="2019-12-01T00:00:00"/>
    <n v="1873825.38"/>
    <n v="0.11"/>
    <n v="67101.64"/>
    <n v="74280.72"/>
    <n v="4126929.56"/>
    <n v="70.069999999999993"/>
    <n v="285329.24"/>
    <n v="0"/>
    <n v="61250"/>
    <m/>
    <n v="6488786.7200000007"/>
    <m/>
    <m/>
  </r>
  <r>
    <x v="6"/>
    <d v="2020-01-01T00:00:00"/>
    <n v="1851451.28"/>
    <n v="5.65"/>
    <n v="65903.78"/>
    <n v="113473.59"/>
    <n v="3582134.08"/>
    <n v="30962.44"/>
    <n v="246749.52"/>
    <n v="0"/>
    <n v="56717"/>
    <m/>
    <n v="5947397.3399999999"/>
    <m/>
    <m/>
  </r>
  <r>
    <x v="6"/>
    <d v="2020-02-01T00:00:00"/>
    <n v="1678387.77"/>
    <n v="0.06"/>
    <n v="59591.75"/>
    <n v="79233.14"/>
    <n v="5359152.7"/>
    <n v="201817.65"/>
    <n v="227687.85"/>
    <n v="0"/>
    <n v="37105"/>
    <m/>
    <n v="7642975.9199999999"/>
    <m/>
    <m/>
  </r>
  <r>
    <x v="6"/>
    <d v="2020-03-01T00:00:00"/>
    <n v="982897.12"/>
    <n v="0.1"/>
    <n v="31435.29"/>
    <n v="18845.669999999998"/>
    <n v="2544251.87"/>
    <n v="75830.600000000006"/>
    <n v="155360.14000000001"/>
    <n v="0"/>
    <m/>
    <m/>
    <n v="3808620.7900000005"/>
    <m/>
    <m/>
  </r>
  <r>
    <x v="6"/>
    <d v="2020-04-01T00:00:00"/>
    <m/>
    <m/>
    <m/>
    <m/>
    <m/>
    <m/>
    <m/>
    <m/>
    <m/>
    <m/>
    <n v="0"/>
    <m/>
    <m/>
  </r>
  <r>
    <x v="6"/>
    <d v="2020-05-01T00:00:00"/>
    <m/>
    <m/>
    <m/>
    <m/>
    <m/>
    <m/>
    <m/>
    <m/>
    <m/>
    <m/>
    <n v="0"/>
    <m/>
    <m/>
  </r>
  <r>
    <x v="6"/>
    <d v="2020-06-01T00:00:00"/>
    <m/>
    <m/>
    <m/>
    <m/>
    <m/>
    <m/>
    <m/>
    <m/>
    <m/>
    <m/>
    <n v="0"/>
    <m/>
    <m/>
  </r>
  <r>
    <x v="7"/>
    <d v="2020-07-01T00:00:00"/>
    <m/>
    <m/>
    <m/>
    <m/>
    <m/>
    <m/>
    <m/>
    <m/>
    <m/>
    <m/>
    <n v="0"/>
    <m/>
    <m/>
  </r>
  <r>
    <x v="7"/>
    <d v="2020-08-01T00:00:00"/>
    <m/>
    <m/>
    <m/>
    <m/>
    <m/>
    <m/>
    <m/>
    <m/>
    <m/>
    <m/>
    <n v="0"/>
    <m/>
    <m/>
  </r>
  <r>
    <x v="7"/>
    <d v="2020-09-01T00:00:00"/>
    <m/>
    <m/>
    <m/>
    <m/>
    <m/>
    <m/>
    <m/>
    <m/>
    <m/>
    <m/>
    <n v="0"/>
    <m/>
    <m/>
  </r>
  <r>
    <x v="7"/>
    <d v="2020-10-01T00:00:00"/>
    <m/>
    <m/>
    <m/>
    <m/>
    <m/>
    <m/>
    <m/>
    <m/>
    <m/>
    <m/>
    <n v="0"/>
    <m/>
    <m/>
  </r>
  <r>
    <x v="7"/>
    <d v="2020-11-01T00:00:00"/>
    <n v="47319.5"/>
    <m/>
    <n v="180"/>
    <m/>
    <n v="148521.72"/>
    <m/>
    <n v="189"/>
    <m/>
    <m/>
    <m/>
    <n v="196210.22"/>
    <m/>
    <m/>
  </r>
  <r>
    <x v="7"/>
    <d v="2020-12-01T00:00:00"/>
    <n v="107741.5"/>
    <m/>
    <n v="900"/>
    <m/>
    <n v="1926773.68"/>
    <n v="444.89"/>
    <n v="616.27"/>
    <m/>
    <n v="10720"/>
    <m/>
    <n v="2047196.3399999999"/>
    <m/>
    <m/>
  </r>
  <r>
    <x v="7"/>
    <d v="2021-01-01T00:00:00"/>
    <n v="0"/>
    <n v="0"/>
    <n v="0"/>
    <m/>
    <n v="1826587.93"/>
    <n v="282.56"/>
    <n v="529.54"/>
    <m/>
    <n v="11565"/>
    <m/>
    <n v="1838965.03"/>
    <m/>
    <m/>
  </r>
  <r>
    <x v="7"/>
    <d v="2021-02-01T00:00:00"/>
    <n v="0"/>
    <n v="0"/>
    <n v="0"/>
    <m/>
    <n v="1201642.3600000001"/>
    <n v="55.78"/>
    <n v="68.94"/>
    <m/>
    <n v="5215"/>
    <m/>
    <n v="1206982.08"/>
    <m/>
    <m/>
  </r>
  <r>
    <x v="7"/>
    <d v="2021-03-01T00:00:00"/>
    <n v="37.200000000000003"/>
    <n v="1.06"/>
    <n v="12"/>
    <m/>
    <n v="1942695.26"/>
    <n v="197.29"/>
    <n v="38.020000000000003"/>
    <n v="0"/>
    <n v="8795"/>
    <m/>
    <n v="1951775.83"/>
    <m/>
    <m/>
  </r>
  <r>
    <x v="7"/>
    <d v="2021-04-01T00:00:00"/>
    <n v="295202.39"/>
    <n v="0.4"/>
    <n v="2199"/>
    <m/>
    <n v="2534771.52"/>
    <n v="265.75"/>
    <n v="46437.79"/>
    <n v="0"/>
    <n v="11710"/>
    <m/>
    <n v="2890586.85"/>
    <m/>
    <m/>
  </r>
  <r>
    <x v="7"/>
    <d v="2021-05-01T00:00:00"/>
    <n v="351975.95"/>
    <n v="0.08"/>
    <n v="2574"/>
    <m/>
    <n v="1668593.34"/>
    <n v="101.21"/>
    <n v="132919.04000000001"/>
    <n v="0"/>
    <n v="8310"/>
    <m/>
    <n v="2164473.6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R19:AB28" firstHeaderRow="0" firstDataRow="1" firstDataCol="1"/>
  <pivotFields count="15">
    <pivotField axis="axisRow" showAll="0">
      <items count="9">
        <item x="0"/>
        <item x="1"/>
        <item x="2"/>
        <item x="3"/>
        <item x="4"/>
        <item x="5"/>
        <item x="6"/>
        <item x="7"/>
        <item t="default"/>
      </items>
    </pivotField>
    <pivotField numFmtId="17" showAll="0"/>
    <pivotField dataField="1" numFmtId="167" showAll="0"/>
    <pivotField dataField="1" showAll="0"/>
    <pivotField dataField="1" numFmtId="167" showAll="0"/>
    <pivotField dataField="1" numFmtId="167" showAll="0"/>
    <pivotField dataField="1" numFmtId="167" showAll="0"/>
    <pivotField dataField="1" numFmtId="167" showAll="0"/>
    <pivotField dataField="1" showAll="0"/>
    <pivotField dataField="1" showAll="0"/>
    <pivotField dataField="1" showAll="0"/>
    <pivotField dataField="1" showAll="0"/>
    <pivotField numFmtId="167" showAll="0"/>
    <pivotField showAll="0" defaultSubtotal="0"/>
    <pivotField showAll="0" defaultSubtotal="0"/>
  </pivotFields>
  <rowFields count="1">
    <field x="0"/>
  </rowFields>
  <rowItems count="9">
    <i>
      <x/>
    </i>
    <i>
      <x v="1"/>
    </i>
    <i>
      <x v="2"/>
    </i>
    <i>
      <x v="3"/>
    </i>
    <i>
      <x v="4"/>
    </i>
    <i>
      <x v="5"/>
    </i>
    <i>
      <x v="6"/>
    </i>
    <i>
      <x v="7"/>
    </i>
    <i t="grand">
      <x/>
    </i>
  </rowItems>
  <colFields count="1">
    <field x="-2"/>
  </colFields>
  <colItems count="10">
    <i>
      <x/>
    </i>
    <i i="1">
      <x v="1"/>
    </i>
    <i i="2">
      <x v="2"/>
    </i>
    <i i="3">
      <x v="3"/>
    </i>
    <i i="4">
      <x v="4"/>
    </i>
    <i i="5">
      <x v="5"/>
    </i>
    <i i="6">
      <x v="6"/>
    </i>
    <i i="7">
      <x v="7"/>
    </i>
    <i i="8">
      <x v="8"/>
    </i>
    <i i="9">
      <x v="9"/>
    </i>
  </colItems>
  <dataFields count="10">
    <dataField name="Sum of W/Back" fld="2" baseField="0" baseItem="0"/>
    <dataField name="Sum of Member Consolations" fld="3" baseField="0" baseItem="0"/>
    <dataField name="Sum of RANDOM RICHES PROMO" fld="8" baseField="0" baseItem="0"/>
    <dataField name="Sum of Seniors Promotion" fld="4" baseField="0" baseItem="0"/>
    <dataField name="Sum of MAIL OUTS" fld="5" baseField="0" baseItem="0"/>
    <dataField name="Sum of MATCHPLAY" fld="6" baseField="0" baseItem="0"/>
    <dataField name="Sum of PROMOTIONAL TICKETS" fld="11" baseField="0" baseItem="0"/>
    <dataField name="Sum of MISCELLANEOUS" fld="7" baseField="0" baseItem="0"/>
    <dataField name="Sum of POKIE CREDIT TCKT TOTAL" fld="10" baseField="0" baseItem="0"/>
    <dataField name="Sum of CONSOLATION PRIZES"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I4:U24" firstHeaderRow="1" firstDataRow="2" firstDataCol="1"/>
  <pivotFields count="6">
    <pivotField axis="axisRow" showAll="0">
      <items count="19">
        <item x="0"/>
        <item x="1"/>
        <item x="2"/>
        <item x="3"/>
        <item x="4"/>
        <item x="5"/>
        <item x="6"/>
        <item x="7"/>
        <item x="8"/>
        <item x="9"/>
        <item x="10"/>
        <item x="11"/>
        <item x="12"/>
        <item x="13"/>
        <item x="14"/>
        <item x="15"/>
        <item x="16"/>
        <item x="17"/>
        <item t="default"/>
      </items>
    </pivotField>
    <pivotField axis="axisCol" showAll="0">
      <items count="12">
        <item x="3"/>
        <item x="7"/>
        <item x="2"/>
        <item x="0"/>
        <item x="6"/>
        <item x="4"/>
        <item x="1"/>
        <item x="8"/>
        <item x="5"/>
        <item x="9"/>
        <item x="10"/>
        <item t="default"/>
      </items>
    </pivotField>
    <pivotField numFmtId="169" showAll="0"/>
    <pivotField numFmtId="169" showAll="0"/>
    <pivotField numFmtId="169" showAll="0"/>
    <pivotField dataField="1" numFmtId="169"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1"/>
  </colFields>
  <colItems count="12">
    <i>
      <x/>
    </i>
    <i>
      <x v="1"/>
    </i>
    <i>
      <x v="2"/>
    </i>
    <i>
      <x v="3"/>
    </i>
    <i>
      <x v="4"/>
    </i>
    <i>
      <x v="5"/>
    </i>
    <i>
      <x v="6"/>
    </i>
    <i>
      <x v="7"/>
    </i>
    <i>
      <x v="8"/>
    </i>
    <i>
      <x v="9"/>
    </i>
    <i>
      <x v="10"/>
    </i>
    <i t="grand">
      <x/>
    </i>
  </colItems>
  <dataFields count="1">
    <dataField name="Sum of Redeemed Amount" fld="5" baseField="0" baseItem="0" numFmtId="166"/>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B2:M21" firstHeaderRow="1" firstDataRow="2" firstDataCol="1"/>
  <pivotFields count="7">
    <pivotField axis="axisRow" numFmtId="168" showAll="0">
      <items count="18">
        <item x="0"/>
        <item x="1"/>
        <item x="2"/>
        <item x="3"/>
        <item x="4"/>
        <item x="5"/>
        <item x="6"/>
        <item x="7"/>
        <item x="8"/>
        <item x="9"/>
        <item x="10"/>
        <item x="11"/>
        <item x="12"/>
        <item x="13"/>
        <item x="14"/>
        <item x="15"/>
        <item x="16"/>
        <item t="default"/>
      </items>
    </pivotField>
    <pivotField axis="axisCol" showAll="0">
      <items count="11">
        <item x="3"/>
        <item x="7"/>
        <item x="2"/>
        <item x="0"/>
        <item x="6"/>
        <item x="4"/>
        <item x="1"/>
        <item x="8"/>
        <item x="5"/>
        <item x="9"/>
        <item t="default"/>
      </items>
    </pivotField>
    <pivotField numFmtId="169" showAll="0"/>
    <pivotField numFmtId="169" showAll="0"/>
    <pivotField numFmtId="169" showAll="0"/>
    <pivotField dataField="1" numFmtId="169" showAll="0"/>
    <pivotField numFmtId="169" showAll="0"/>
  </pivotFields>
  <rowFields count="1">
    <field x="0"/>
  </rowFields>
  <rowItems count="18">
    <i>
      <x/>
    </i>
    <i>
      <x v="1"/>
    </i>
    <i>
      <x v="2"/>
    </i>
    <i>
      <x v="3"/>
    </i>
    <i>
      <x v="4"/>
    </i>
    <i>
      <x v="5"/>
    </i>
    <i>
      <x v="6"/>
    </i>
    <i>
      <x v="7"/>
    </i>
    <i>
      <x v="8"/>
    </i>
    <i>
      <x v="9"/>
    </i>
    <i>
      <x v="10"/>
    </i>
    <i>
      <x v="11"/>
    </i>
    <i>
      <x v="12"/>
    </i>
    <i>
      <x v="13"/>
    </i>
    <i>
      <x v="14"/>
    </i>
    <i>
      <x v="15"/>
    </i>
    <i>
      <x v="16"/>
    </i>
    <i t="grand">
      <x/>
    </i>
  </rowItems>
  <colFields count="1">
    <field x="1"/>
  </colFields>
  <colItems count="11">
    <i>
      <x/>
    </i>
    <i>
      <x v="1"/>
    </i>
    <i>
      <x v="2"/>
    </i>
    <i>
      <x v="3"/>
    </i>
    <i>
      <x v="4"/>
    </i>
    <i>
      <x v="5"/>
    </i>
    <i>
      <x v="6"/>
    </i>
    <i>
      <x v="7"/>
    </i>
    <i>
      <x v="8"/>
    </i>
    <i>
      <x v="9"/>
    </i>
    <i t="grand">
      <x/>
    </i>
  </colItems>
  <dataFields count="1">
    <dataField name="Sum of Awarded Amount" fld="5" baseField="0" baseItem="0" numFmtId="167"/>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6"/>
  <sheetViews>
    <sheetView zoomScale="87" zoomScaleNormal="87" workbookViewId="0">
      <selection activeCell="D28" sqref="D28"/>
    </sheetView>
  </sheetViews>
  <sheetFormatPr defaultColWidth="9.140625" defaultRowHeight="15" x14ac:dyDescent="0.25"/>
  <cols>
    <col min="1" max="1" width="60.5703125" style="255" bestFit="1" customWidth="1"/>
    <col min="2" max="2" width="13.42578125" style="255" customWidth="1"/>
    <col min="3" max="3" width="16.28515625" style="255" customWidth="1"/>
    <col min="4" max="4" width="178" style="255" bestFit="1" customWidth="1"/>
    <col min="5" max="5" width="31.85546875" style="255" bestFit="1" customWidth="1"/>
    <col min="6" max="6" width="26.28515625" style="255" bestFit="1" customWidth="1"/>
    <col min="7" max="16384" width="9.140625" style="255"/>
  </cols>
  <sheetData>
    <row r="1" spans="1:6" x14ac:dyDescent="0.25">
      <c r="A1" s="302" t="s">
        <v>219</v>
      </c>
      <c r="B1" s="303"/>
      <c r="C1" s="303"/>
      <c r="D1" s="304"/>
      <c r="E1" s="304"/>
      <c r="F1" s="305"/>
    </row>
    <row r="2" spans="1:6" x14ac:dyDescent="0.25">
      <c r="A2" s="306"/>
      <c r="B2" s="173"/>
      <c r="C2" s="173"/>
      <c r="D2" s="173"/>
      <c r="E2" s="173"/>
      <c r="F2" s="307"/>
    </row>
    <row r="3" spans="1:6" ht="15.75" thickBot="1" x14ac:dyDescent="0.3">
      <c r="A3" s="308" t="s">
        <v>218</v>
      </c>
      <c r="B3" s="170"/>
      <c r="C3" s="170"/>
      <c r="D3" s="170" t="s">
        <v>217</v>
      </c>
      <c r="E3" s="170" t="s">
        <v>216</v>
      </c>
      <c r="F3" s="309" t="s">
        <v>215</v>
      </c>
    </row>
    <row r="4" spans="1:6" ht="15.75" thickTop="1" x14ac:dyDescent="0.25">
      <c r="A4" s="310"/>
      <c r="B4" s="180" t="s">
        <v>221</v>
      </c>
      <c r="C4" s="167"/>
      <c r="D4" s="167"/>
      <c r="E4" s="167"/>
      <c r="F4" s="311"/>
    </row>
    <row r="5" spans="1:6" x14ac:dyDescent="0.25">
      <c r="A5" s="312" t="s">
        <v>214</v>
      </c>
      <c r="B5" s="179" t="s">
        <v>220</v>
      </c>
      <c r="C5" s="227">
        <f>'Summary (2021-6-16)'!J168+'Summary (2021-6-16)'!T168</f>
        <v>77854513.880247399</v>
      </c>
      <c r="D5" s="160" t="s">
        <v>213</v>
      </c>
      <c r="E5" s="54" t="s">
        <v>212</v>
      </c>
      <c r="F5" s="313" t="s">
        <v>201</v>
      </c>
    </row>
    <row r="6" spans="1:6" x14ac:dyDescent="0.25">
      <c r="A6" s="314"/>
      <c r="B6" s="180" t="s">
        <v>221</v>
      </c>
      <c r="C6" s="228">
        <f>'Summary (2021-6-16)'!L168</f>
        <v>2720451.0929034073</v>
      </c>
      <c r="D6" s="160" t="s">
        <v>211</v>
      </c>
      <c r="E6" s="54"/>
      <c r="F6" s="315"/>
    </row>
    <row r="7" spans="1:6" x14ac:dyDescent="0.25">
      <c r="A7" s="312"/>
      <c r="B7" s="179"/>
      <c r="C7" s="189"/>
      <c r="D7" s="164" t="s">
        <v>194</v>
      </c>
      <c r="E7" s="54"/>
      <c r="F7" s="315"/>
    </row>
    <row r="8" spans="1:6" x14ac:dyDescent="0.25">
      <c r="A8" s="312"/>
      <c r="B8" s="179"/>
      <c r="C8" s="189"/>
      <c r="D8" s="164"/>
      <c r="E8" s="54"/>
      <c r="F8" s="315"/>
    </row>
    <row r="9" spans="1:6" x14ac:dyDescent="0.25">
      <c r="A9" s="312" t="s">
        <v>210</v>
      </c>
      <c r="B9" s="179"/>
      <c r="C9" s="229">
        <f>'Summary (2021-6-16)'!M168</f>
        <v>6249345.8937158566</v>
      </c>
      <c r="D9" s="160" t="s">
        <v>209</v>
      </c>
      <c r="E9" s="54" t="s">
        <v>208</v>
      </c>
      <c r="F9" s="316" t="s">
        <v>207</v>
      </c>
    </row>
    <row r="10" spans="1:6" x14ac:dyDescent="0.25">
      <c r="A10" s="314"/>
      <c r="B10" s="180"/>
      <c r="C10" s="191"/>
      <c r="D10" s="160" t="s">
        <v>206</v>
      </c>
      <c r="E10" s="54"/>
      <c r="F10" s="315"/>
    </row>
    <row r="11" spans="1:6" x14ac:dyDescent="0.25">
      <c r="A11" s="314"/>
      <c r="B11" s="180"/>
      <c r="C11" s="191"/>
      <c r="D11" s="164" t="s">
        <v>205</v>
      </c>
      <c r="E11" s="54"/>
      <c r="F11" s="315"/>
    </row>
    <row r="12" spans="1:6" x14ac:dyDescent="0.25">
      <c r="A12" s="314"/>
      <c r="B12" s="180"/>
      <c r="C12" s="191"/>
      <c r="D12" s="54"/>
      <c r="E12" s="54"/>
      <c r="F12" s="315"/>
    </row>
    <row r="13" spans="1:6" x14ac:dyDescent="0.25">
      <c r="A13" s="312" t="s">
        <v>204</v>
      </c>
      <c r="B13" s="179"/>
      <c r="C13" s="230">
        <f>'Summary (2021-6-16)'!N168</f>
        <v>144465328.87535369</v>
      </c>
      <c r="D13" s="164" t="s">
        <v>203</v>
      </c>
      <c r="E13" s="54" t="s">
        <v>202</v>
      </c>
      <c r="F13" s="315" t="s">
        <v>201</v>
      </c>
    </row>
    <row r="14" spans="1:6" x14ac:dyDescent="0.25">
      <c r="A14" s="314"/>
      <c r="B14" s="180"/>
      <c r="C14" s="191"/>
      <c r="D14" s="164" t="s">
        <v>200</v>
      </c>
      <c r="E14" s="54"/>
      <c r="F14" s="315"/>
    </row>
    <row r="15" spans="1:6" x14ac:dyDescent="0.25">
      <c r="A15" s="314"/>
      <c r="B15" s="180"/>
      <c r="C15" s="191"/>
      <c r="D15" s="164" t="s">
        <v>199</v>
      </c>
      <c r="E15" s="54"/>
      <c r="F15" s="315"/>
    </row>
    <row r="16" spans="1:6" x14ac:dyDescent="0.25">
      <c r="A16" s="312"/>
      <c r="B16" s="179"/>
      <c r="C16" s="189"/>
      <c r="D16" s="54"/>
      <c r="E16" s="54"/>
      <c r="F16" s="315"/>
    </row>
    <row r="17" spans="1:6" x14ac:dyDescent="0.25">
      <c r="A17" s="312" t="s">
        <v>198</v>
      </c>
      <c r="B17" s="179"/>
      <c r="C17" s="231">
        <f>'Summary (2021-6-16)'!P168</f>
        <v>2720856.3963981089</v>
      </c>
      <c r="D17" s="160" t="s">
        <v>197</v>
      </c>
      <c r="E17" s="54" t="s">
        <v>196</v>
      </c>
      <c r="F17" s="315" t="s">
        <v>195</v>
      </c>
    </row>
    <row r="18" spans="1:6" x14ac:dyDescent="0.25">
      <c r="A18" s="312"/>
      <c r="B18" s="179"/>
      <c r="C18" s="189"/>
      <c r="D18" s="164" t="s">
        <v>194</v>
      </c>
      <c r="E18" s="54"/>
      <c r="F18" s="315"/>
    </row>
    <row r="19" spans="1:6" x14ac:dyDescent="0.25">
      <c r="A19" s="314"/>
      <c r="B19" s="180"/>
      <c r="C19" s="191"/>
      <c r="D19" s="160" t="s">
        <v>193</v>
      </c>
      <c r="E19" s="54"/>
      <c r="F19" s="315"/>
    </row>
    <row r="20" spans="1:6" x14ac:dyDescent="0.25">
      <c r="A20" s="314"/>
      <c r="B20" s="180"/>
      <c r="C20" s="191"/>
      <c r="D20" s="160"/>
      <c r="E20" s="54"/>
      <c r="F20" s="315"/>
    </row>
    <row r="21" spans="1:6" x14ac:dyDescent="0.25">
      <c r="A21" s="312" t="s">
        <v>192</v>
      </c>
      <c r="B21" s="179"/>
      <c r="C21" s="241">
        <f>'Summary (2021-6-16)'!O168</f>
        <v>2289348.2126111328</v>
      </c>
      <c r="D21" s="160" t="s">
        <v>191</v>
      </c>
      <c r="E21" s="54" t="s">
        <v>190</v>
      </c>
      <c r="F21" s="315" t="s">
        <v>189</v>
      </c>
    </row>
    <row r="22" spans="1:6" x14ac:dyDescent="0.25">
      <c r="A22" s="314"/>
      <c r="B22" s="180"/>
      <c r="C22" s="191"/>
      <c r="D22" s="160" t="s">
        <v>188</v>
      </c>
      <c r="E22" s="54"/>
      <c r="F22" s="315"/>
    </row>
    <row r="23" spans="1:6" x14ac:dyDescent="0.25">
      <c r="A23" s="314"/>
      <c r="B23" s="180"/>
      <c r="C23" s="191"/>
      <c r="D23" s="54"/>
      <c r="E23" s="54"/>
      <c r="F23" s="315"/>
    </row>
    <row r="24" spans="1:6" x14ac:dyDescent="0.25">
      <c r="A24" s="312" t="s">
        <v>187</v>
      </c>
      <c r="B24" s="179"/>
      <c r="C24" s="232">
        <f>'Summary (2021-6-16)'!Q168+'Summary (2021-6-16)'!K168</f>
        <v>997844.51599142363</v>
      </c>
      <c r="D24" s="160" t="s">
        <v>186</v>
      </c>
      <c r="E24" s="54" t="s">
        <v>185</v>
      </c>
      <c r="F24" s="315" t="s">
        <v>184</v>
      </c>
    </row>
    <row r="25" spans="1:6" x14ac:dyDescent="0.25">
      <c r="A25" s="314"/>
      <c r="B25" s="180"/>
      <c r="C25" s="191"/>
      <c r="D25" s="160" t="s">
        <v>183</v>
      </c>
      <c r="E25" s="54"/>
      <c r="F25" s="315"/>
    </row>
    <row r="26" spans="1:6" x14ac:dyDescent="0.25">
      <c r="A26" s="314"/>
      <c r="B26" s="180"/>
      <c r="C26" s="191"/>
      <c r="D26" s="54"/>
      <c r="E26" s="54"/>
      <c r="F26" s="315"/>
    </row>
    <row r="27" spans="1:6" x14ac:dyDescent="0.25">
      <c r="A27" s="312" t="s">
        <v>182</v>
      </c>
      <c r="B27" s="179"/>
      <c r="C27" s="233">
        <f>'Summary (2021-6-16)'!R168+'Summary (2021-6-16)'!S168+'Summary (2021-6-16)'!U168</f>
        <v>1633288.8139620712</v>
      </c>
      <c r="D27" s="160" t="s">
        <v>181</v>
      </c>
      <c r="E27" s="54" t="s">
        <v>180</v>
      </c>
      <c r="F27" s="316" t="s">
        <v>179</v>
      </c>
    </row>
    <row r="28" spans="1:6" x14ac:dyDescent="0.25">
      <c r="A28" s="314"/>
      <c r="B28" s="180"/>
      <c r="C28" s="181"/>
      <c r="D28" s="160" t="s">
        <v>178</v>
      </c>
      <c r="E28" s="54"/>
      <c r="F28" s="315"/>
    </row>
    <row r="29" spans="1:6" x14ac:dyDescent="0.25">
      <c r="A29" s="314"/>
      <c r="B29" s="180"/>
      <c r="C29" s="181"/>
      <c r="D29" s="160" t="s">
        <v>177</v>
      </c>
      <c r="E29" s="54"/>
      <c r="F29" s="315"/>
    </row>
    <row r="30" spans="1:6" x14ac:dyDescent="0.25">
      <c r="A30" s="314"/>
      <c r="B30" s="180"/>
      <c r="C30" s="181"/>
      <c r="D30" s="54"/>
      <c r="E30" s="54"/>
      <c r="F30" s="315"/>
    </row>
    <row r="31" spans="1:6" x14ac:dyDescent="0.25">
      <c r="A31" s="312" t="s">
        <v>282</v>
      </c>
      <c r="B31" s="179"/>
      <c r="C31" s="317">
        <f>'Summary (2021-6-16)'!G168+'Summary (2021-6-16)'!H168+'Summary (2021-6-16)'!I168</f>
        <v>32898625.245521728</v>
      </c>
      <c r="D31" s="160" t="s">
        <v>175</v>
      </c>
      <c r="E31" s="54" t="s">
        <v>174</v>
      </c>
      <c r="F31" s="315" t="s">
        <v>173</v>
      </c>
    </row>
    <row r="32" spans="1:6" x14ac:dyDescent="0.25">
      <c r="A32" s="318" t="s">
        <v>274</v>
      </c>
      <c r="B32" s="295">
        <f>'Summary (2021-6-16)'!G168</f>
        <v>24823206.956148263</v>
      </c>
      <c r="C32" s="54"/>
      <c r="D32" s="160" t="s">
        <v>172</v>
      </c>
      <c r="E32" s="54"/>
      <c r="F32" s="315"/>
    </row>
    <row r="33" spans="1:6" x14ac:dyDescent="0.25">
      <c r="A33" s="318" t="s">
        <v>275</v>
      </c>
      <c r="B33" s="295">
        <f>'Summary (2021-6-16)'!H168</f>
        <v>4419932.5124184778</v>
      </c>
      <c r="C33" s="182"/>
      <c r="D33" s="160" t="s">
        <v>171</v>
      </c>
      <c r="E33" s="54"/>
      <c r="F33" s="315"/>
    </row>
    <row r="34" spans="1:6" x14ac:dyDescent="0.25">
      <c r="A34" s="318" t="s">
        <v>276</v>
      </c>
      <c r="B34" s="295">
        <f>'Summary (2021-6-16)'!I168</f>
        <v>3655485.7769549866</v>
      </c>
      <c r="C34" s="182"/>
      <c r="D34" s="160" t="s">
        <v>170</v>
      </c>
      <c r="E34" s="54"/>
      <c r="F34" s="315"/>
    </row>
    <row r="35" spans="1:6" x14ac:dyDescent="0.25">
      <c r="A35" s="319"/>
      <c r="B35" s="54"/>
      <c r="C35" s="182"/>
      <c r="D35" s="157" t="s">
        <v>169</v>
      </c>
      <c r="E35" s="54"/>
      <c r="F35" s="315"/>
    </row>
    <row r="36" spans="1:6" x14ac:dyDescent="0.25">
      <c r="A36" s="319"/>
      <c r="B36" s="184"/>
      <c r="C36" s="185"/>
      <c r="D36" s="159" t="s">
        <v>168</v>
      </c>
      <c r="E36" s="54"/>
      <c r="F36" s="315"/>
    </row>
    <row r="37" spans="1:6" x14ac:dyDescent="0.25">
      <c r="A37" s="320"/>
      <c r="B37" s="279"/>
      <c r="C37" s="213"/>
      <c r="D37" s="159" t="s">
        <v>167</v>
      </c>
      <c r="E37" s="54"/>
      <c r="F37" s="315"/>
    </row>
    <row r="38" spans="1:6" x14ac:dyDescent="0.25">
      <c r="A38" s="321"/>
      <c r="B38" s="213"/>
      <c r="C38" s="213"/>
      <c r="D38" s="159" t="s">
        <v>166</v>
      </c>
      <c r="E38" s="54"/>
      <c r="F38" s="315"/>
    </row>
    <row r="39" spans="1:6" x14ac:dyDescent="0.25">
      <c r="A39" s="321"/>
      <c r="B39" s="213"/>
      <c r="C39" s="213"/>
      <c r="D39" s="157" t="s">
        <v>165</v>
      </c>
      <c r="E39" s="54"/>
      <c r="F39" s="315"/>
    </row>
    <row r="40" spans="1:6" x14ac:dyDescent="0.25">
      <c r="A40" s="321"/>
      <c r="B40" s="213"/>
      <c r="C40" s="213"/>
      <c r="D40" s="157" t="s">
        <v>164</v>
      </c>
      <c r="E40" s="54"/>
      <c r="F40" s="315"/>
    </row>
    <row r="41" spans="1:6" x14ac:dyDescent="0.25">
      <c r="A41" s="322" t="s">
        <v>281</v>
      </c>
      <c r="B41" s="213"/>
      <c r="C41" s="68">
        <f>'Summary (2021-6-16)'!Y168</f>
        <v>786418.46130082337</v>
      </c>
      <c r="D41" s="157"/>
      <c r="E41" s="54"/>
      <c r="F41" s="315"/>
    </row>
    <row r="42" spans="1:6" x14ac:dyDescent="0.25">
      <c r="A42" s="323"/>
      <c r="B42" s="54"/>
      <c r="C42" s="54"/>
      <c r="D42" s="157"/>
      <c r="E42" s="54"/>
      <c r="F42" s="315"/>
    </row>
    <row r="43" spans="1:6" x14ac:dyDescent="0.25">
      <c r="A43" s="323"/>
      <c r="B43" s="184" t="s">
        <v>111</v>
      </c>
      <c r="C43" s="185">
        <f>SUM(C5:C42)</f>
        <v>272616021.38800567</v>
      </c>
      <c r="D43" s="157"/>
      <c r="E43" s="54"/>
      <c r="F43" s="315"/>
    </row>
    <row r="44" spans="1:6" ht="15.75" thickBot="1" x14ac:dyDescent="0.3">
      <c r="A44" s="324"/>
      <c r="B44" s="325"/>
      <c r="C44" s="326"/>
      <c r="D44" s="327"/>
      <c r="E44" s="325"/>
      <c r="F44" s="328"/>
    </row>
    <row r="46" spans="1:6" x14ac:dyDescent="0.25">
      <c r="C46" s="64">
        <f>C43-'Summary (2021-6-16)'!Z168</f>
        <v>0</v>
      </c>
    </row>
  </sheetData>
  <pageMargins left="0.70866141732283472" right="0.70866141732283472" top="0.74803149606299213" bottom="0.74803149606299213" header="0.31496062992125984" footer="0.31496062992125984"/>
  <pageSetup paperSize="8" scale="5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121"/>
  <sheetViews>
    <sheetView workbookViewId="0">
      <selection activeCell="G32" sqref="G32"/>
    </sheetView>
  </sheetViews>
  <sheetFormatPr defaultColWidth="9.140625" defaultRowHeight="12.75" customHeight="1" x14ac:dyDescent="0.25"/>
  <cols>
    <col min="1" max="1" width="20.140625" style="55" bestFit="1" customWidth="1"/>
    <col min="2" max="2" width="34" style="55" bestFit="1" customWidth="1"/>
    <col min="3" max="3" width="21.28515625" style="55" bestFit="1" customWidth="1"/>
    <col min="4" max="4" width="20.140625" style="55" bestFit="1" customWidth="1"/>
    <col min="5" max="5" width="17.5703125" style="55" bestFit="1" customWidth="1"/>
    <col min="6" max="6" width="20.140625" style="55" bestFit="1" customWidth="1"/>
    <col min="7" max="8" width="9.140625" style="55"/>
    <col min="9" max="9" width="25.28515625" style="55" bestFit="1" customWidth="1"/>
    <col min="10" max="10" width="19.5703125" style="55" bestFit="1" customWidth="1"/>
    <col min="11" max="11" width="17.7109375" style="55" bestFit="1" customWidth="1"/>
    <col min="12" max="12" width="17.42578125" style="55" bestFit="1" customWidth="1"/>
    <col min="13" max="13" width="20" style="55" bestFit="1" customWidth="1"/>
    <col min="14" max="14" width="18.42578125" style="55" bestFit="1" customWidth="1"/>
    <col min="15" max="15" width="14.28515625" style="55" bestFit="1" customWidth="1"/>
    <col min="16" max="16" width="15.28515625" style="55" bestFit="1" customWidth="1"/>
    <col min="17" max="17" width="14.140625" style="55" bestFit="1" customWidth="1"/>
    <col min="18" max="18" width="18.85546875" style="55" bestFit="1" customWidth="1"/>
    <col min="19" max="19" width="21.140625" style="55" bestFit="1" customWidth="1"/>
    <col min="20" max="20" width="11" style="55" customWidth="1"/>
    <col min="21" max="21" width="16.85546875" style="55" bestFit="1" customWidth="1"/>
    <col min="22" max="16384" width="9.140625" style="55"/>
  </cols>
  <sheetData>
    <row r="1" spans="1:21" ht="21.75" customHeight="1" x14ac:dyDescent="0.25">
      <c r="A1" s="337" t="s">
        <v>129</v>
      </c>
      <c r="B1" s="338"/>
      <c r="C1" s="338"/>
      <c r="D1" s="338"/>
      <c r="E1" s="338"/>
      <c r="F1" s="338"/>
    </row>
    <row r="2" spans="1:21" ht="15.75" thickBot="1" x14ac:dyDescent="0.3">
      <c r="A2" s="339" t="s">
        <v>130</v>
      </c>
      <c r="B2" s="338"/>
      <c r="C2" s="338"/>
      <c r="D2" s="338"/>
      <c r="E2" s="338"/>
      <c r="F2" s="338"/>
    </row>
    <row r="3" spans="1:21" ht="15.75" thickBot="1" x14ac:dyDescent="0.3">
      <c r="A3" s="89" t="s">
        <v>75</v>
      </c>
      <c r="B3" s="89" t="s">
        <v>131</v>
      </c>
      <c r="C3" s="89" t="s">
        <v>76</v>
      </c>
      <c r="D3" s="89" t="s">
        <v>77</v>
      </c>
      <c r="E3" s="89" t="s">
        <v>132</v>
      </c>
      <c r="F3" s="89" t="s">
        <v>133</v>
      </c>
    </row>
    <row r="4" spans="1:21" ht="15.75" thickBot="1" x14ac:dyDescent="0.3">
      <c r="A4" s="90">
        <v>2005</v>
      </c>
      <c r="B4" s="91" t="s">
        <v>134</v>
      </c>
      <c r="C4" s="92">
        <v>3967418646.04</v>
      </c>
      <c r="D4" s="92">
        <v>323348200.51999998</v>
      </c>
      <c r="E4" s="92">
        <v>0</v>
      </c>
      <c r="F4" s="92">
        <v>37633879.5</v>
      </c>
      <c r="I4" s="19" t="s">
        <v>146</v>
      </c>
      <c r="J4" s="19" t="s">
        <v>144</v>
      </c>
      <c r="K4"/>
      <c r="L4"/>
      <c r="M4"/>
      <c r="N4"/>
      <c r="O4"/>
      <c r="P4"/>
      <c r="Q4"/>
      <c r="R4"/>
      <c r="S4"/>
      <c r="T4"/>
      <c r="U4"/>
    </row>
    <row r="5" spans="1:21" ht="15.75" thickBot="1" x14ac:dyDescent="0.3">
      <c r="A5" s="90">
        <v>2005</v>
      </c>
      <c r="B5" s="91" t="s">
        <v>102</v>
      </c>
      <c r="C5" s="92">
        <v>3967418646.04</v>
      </c>
      <c r="D5" s="92">
        <v>323348200.51999998</v>
      </c>
      <c r="E5" s="92">
        <v>0</v>
      </c>
      <c r="F5" s="92">
        <v>15681679.42</v>
      </c>
      <c r="I5" s="19" t="s">
        <v>88</v>
      </c>
      <c r="J5" s="55" t="s">
        <v>136</v>
      </c>
      <c r="K5" s="55" t="s">
        <v>140</v>
      </c>
      <c r="L5" s="55" t="s">
        <v>135</v>
      </c>
      <c r="M5" s="55" t="s">
        <v>134</v>
      </c>
      <c r="N5" s="55" t="s">
        <v>139</v>
      </c>
      <c r="O5" s="55" t="s">
        <v>137</v>
      </c>
      <c r="P5" s="55" t="s">
        <v>102</v>
      </c>
      <c r="Q5" s="55" t="s">
        <v>141</v>
      </c>
      <c r="R5" s="55" t="s">
        <v>138</v>
      </c>
      <c r="S5" s="55" t="s">
        <v>48</v>
      </c>
      <c r="T5" s="55" t="s">
        <v>145</v>
      </c>
      <c r="U5" s="55" t="s">
        <v>89</v>
      </c>
    </row>
    <row r="6" spans="1:21" ht="15.75" thickBot="1" x14ac:dyDescent="0.3">
      <c r="A6" s="90">
        <v>2005</v>
      </c>
      <c r="B6" s="91" t="s">
        <v>135</v>
      </c>
      <c r="C6" s="92">
        <v>3967418646.04</v>
      </c>
      <c r="D6" s="92">
        <v>323348200.51999998</v>
      </c>
      <c r="E6" s="92">
        <v>0</v>
      </c>
      <c r="F6" s="92">
        <v>580233.84</v>
      </c>
      <c r="I6" s="20">
        <v>2005</v>
      </c>
      <c r="J6" s="64">
        <v>507714.65</v>
      </c>
      <c r="K6" s="64">
        <v>2865.7</v>
      </c>
      <c r="L6" s="64">
        <v>580233.84</v>
      </c>
      <c r="M6" s="64">
        <v>37633879.5</v>
      </c>
      <c r="N6" s="64">
        <v>640388.36</v>
      </c>
      <c r="O6" s="64">
        <v>6962530.0499999998</v>
      </c>
      <c r="P6" s="64">
        <v>15681679.42</v>
      </c>
      <c r="Q6" s="64">
        <v>796.4</v>
      </c>
      <c r="R6" s="64">
        <v>213291.55</v>
      </c>
      <c r="S6" s="64"/>
      <c r="T6" s="64"/>
      <c r="U6" s="64">
        <v>62223379.469999991</v>
      </c>
    </row>
    <row r="7" spans="1:21" ht="15.75" thickBot="1" x14ac:dyDescent="0.3">
      <c r="A7" s="90">
        <v>2005</v>
      </c>
      <c r="B7" s="91" t="s">
        <v>136</v>
      </c>
      <c r="C7" s="92">
        <v>3967418646.04</v>
      </c>
      <c r="D7" s="92">
        <v>323348200.51999998</v>
      </c>
      <c r="E7" s="92">
        <v>0</v>
      </c>
      <c r="F7" s="92">
        <v>507714.65</v>
      </c>
      <c r="I7" s="20">
        <v>2006</v>
      </c>
      <c r="J7" s="64">
        <v>418983.99</v>
      </c>
      <c r="K7" s="64">
        <v>98.77</v>
      </c>
      <c r="L7" s="64">
        <v>606594.77</v>
      </c>
      <c r="M7" s="64">
        <v>39013724.960000001</v>
      </c>
      <c r="N7" s="64">
        <v>587037.49</v>
      </c>
      <c r="O7" s="64">
        <v>7076678.1399999997</v>
      </c>
      <c r="P7" s="64">
        <v>19153429.449999999</v>
      </c>
      <c r="Q7" s="64">
        <v>1753.26</v>
      </c>
      <c r="R7" s="64">
        <v>285653.92</v>
      </c>
      <c r="S7" s="64"/>
      <c r="T7" s="64"/>
      <c r="U7" s="64">
        <v>67143954.75</v>
      </c>
    </row>
    <row r="8" spans="1:21" ht="15.75" thickBot="1" x14ac:dyDescent="0.3">
      <c r="A8" s="90">
        <v>2005</v>
      </c>
      <c r="B8" s="91" t="s">
        <v>137</v>
      </c>
      <c r="C8" s="92">
        <v>3967418646.04</v>
      </c>
      <c r="D8" s="92">
        <v>323348200.51999998</v>
      </c>
      <c r="E8" s="92">
        <v>0</v>
      </c>
      <c r="F8" s="92">
        <v>6962530.0499999998</v>
      </c>
      <c r="I8" s="20">
        <v>2007</v>
      </c>
      <c r="J8" s="64">
        <v>270566.62</v>
      </c>
      <c r="K8" s="64">
        <v>26.32</v>
      </c>
      <c r="L8" s="64">
        <v>237411.12</v>
      </c>
      <c r="M8" s="64">
        <v>41588228.039999999</v>
      </c>
      <c r="N8" s="64">
        <v>181646.26</v>
      </c>
      <c r="O8" s="64">
        <v>6610009.5499999998</v>
      </c>
      <c r="P8" s="64">
        <v>22442481.030000001</v>
      </c>
      <c r="Q8" s="64">
        <v>171239.45</v>
      </c>
      <c r="R8" s="64">
        <v>339149.69</v>
      </c>
      <c r="S8" s="64"/>
      <c r="T8" s="64"/>
      <c r="U8" s="64">
        <v>71840758.079999998</v>
      </c>
    </row>
    <row r="9" spans="1:21" ht="15.75" thickBot="1" x14ac:dyDescent="0.3">
      <c r="A9" s="90">
        <v>2005</v>
      </c>
      <c r="B9" s="91" t="s">
        <v>138</v>
      </c>
      <c r="C9" s="92">
        <v>3967418646.04</v>
      </c>
      <c r="D9" s="92">
        <v>323348200.51999998</v>
      </c>
      <c r="E9" s="92">
        <v>0</v>
      </c>
      <c r="F9" s="92">
        <v>213291.55</v>
      </c>
      <c r="I9" s="20">
        <v>2008</v>
      </c>
      <c r="J9" s="64">
        <v>0.02</v>
      </c>
      <c r="K9" s="64">
        <v>24.06</v>
      </c>
      <c r="L9" s="64"/>
      <c r="M9" s="64">
        <v>40316901.700000003</v>
      </c>
      <c r="N9" s="64">
        <v>6913.01</v>
      </c>
      <c r="O9" s="64">
        <v>6918767.6600000001</v>
      </c>
      <c r="P9" s="64">
        <v>21046201.260000002</v>
      </c>
      <c r="Q9" s="64">
        <v>1017.72</v>
      </c>
      <c r="R9" s="64">
        <v>372557.19</v>
      </c>
      <c r="S9" s="64"/>
      <c r="T9" s="64"/>
      <c r="U9" s="64">
        <v>68662382.620000005</v>
      </c>
    </row>
    <row r="10" spans="1:21" ht="15.75" thickBot="1" x14ac:dyDescent="0.3">
      <c r="A10" s="90">
        <v>2005</v>
      </c>
      <c r="B10" s="91" t="s">
        <v>139</v>
      </c>
      <c r="C10" s="92">
        <v>3967418646.04</v>
      </c>
      <c r="D10" s="92">
        <v>323348200.51999998</v>
      </c>
      <c r="E10" s="92">
        <v>0</v>
      </c>
      <c r="F10" s="92">
        <v>640388.36</v>
      </c>
      <c r="I10" s="20">
        <v>2009</v>
      </c>
      <c r="J10" s="64"/>
      <c r="K10" s="64">
        <v>11.57</v>
      </c>
      <c r="L10" s="64"/>
      <c r="M10" s="64">
        <v>38866215.829999998</v>
      </c>
      <c r="N10" s="64">
        <v>3978.45</v>
      </c>
      <c r="O10" s="64">
        <v>3683523.53</v>
      </c>
      <c r="P10" s="64">
        <v>22435844.100000001</v>
      </c>
      <c r="Q10" s="64">
        <v>2252.06</v>
      </c>
      <c r="R10" s="64">
        <v>392861.34</v>
      </c>
      <c r="S10" s="64"/>
      <c r="T10" s="64"/>
      <c r="U10" s="64">
        <v>65384686.88000001</v>
      </c>
    </row>
    <row r="11" spans="1:21" ht="15.75" thickBot="1" x14ac:dyDescent="0.3">
      <c r="A11" s="90">
        <v>2005</v>
      </c>
      <c r="B11" s="91" t="s">
        <v>140</v>
      </c>
      <c r="C11" s="92">
        <v>3967418646.04</v>
      </c>
      <c r="D11" s="92">
        <v>323348200.51999998</v>
      </c>
      <c r="E11" s="92">
        <v>0</v>
      </c>
      <c r="F11" s="92">
        <v>2865.7</v>
      </c>
      <c r="I11" s="20">
        <v>2010</v>
      </c>
      <c r="J11" s="64"/>
      <c r="K11" s="64">
        <v>213931.8</v>
      </c>
      <c r="L11" s="64"/>
      <c r="M11" s="64">
        <v>36764143.990000002</v>
      </c>
      <c r="N11" s="64">
        <v>3313.49</v>
      </c>
      <c r="O11" s="64">
        <v>2074728.59</v>
      </c>
      <c r="P11" s="64">
        <v>23557720.710000001</v>
      </c>
      <c r="Q11" s="64">
        <v>1532.32</v>
      </c>
      <c r="R11" s="64">
        <v>318298.88</v>
      </c>
      <c r="S11" s="64"/>
      <c r="T11" s="64"/>
      <c r="U11" s="64">
        <v>62933669.780000009</v>
      </c>
    </row>
    <row r="12" spans="1:21" ht="15.75" thickBot="1" x14ac:dyDescent="0.3">
      <c r="A12" s="90">
        <v>2005</v>
      </c>
      <c r="B12" s="91" t="s">
        <v>141</v>
      </c>
      <c r="C12" s="92">
        <v>3967418646.04</v>
      </c>
      <c r="D12" s="92">
        <v>323348200.51999998</v>
      </c>
      <c r="E12" s="92">
        <v>0</v>
      </c>
      <c r="F12" s="92">
        <v>796.4</v>
      </c>
      <c r="I12" s="20">
        <v>2011</v>
      </c>
      <c r="J12" s="64"/>
      <c r="K12" s="64">
        <v>1131064.8</v>
      </c>
      <c r="L12" s="64"/>
      <c r="M12" s="64">
        <v>32965488.02</v>
      </c>
      <c r="N12" s="64">
        <v>58</v>
      </c>
      <c r="O12" s="64">
        <v>1280195.29</v>
      </c>
      <c r="P12" s="64">
        <v>27089175.260000002</v>
      </c>
      <c r="Q12" s="64">
        <v>212782.48</v>
      </c>
      <c r="R12" s="64">
        <v>346004.7</v>
      </c>
      <c r="S12" s="64"/>
      <c r="T12" s="64"/>
      <c r="U12" s="64">
        <v>63024768.550000004</v>
      </c>
    </row>
    <row r="13" spans="1:21" ht="15.75" thickBot="1" x14ac:dyDescent="0.3">
      <c r="A13" s="90">
        <v>2006</v>
      </c>
      <c r="B13" s="91" t="s">
        <v>134</v>
      </c>
      <c r="C13" s="92">
        <v>4366686874.21</v>
      </c>
      <c r="D13" s="92">
        <v>364084420.60000002</v>
      </c>
      <c r="E13" s="92">
        <v>0</v>
      </c>
      <c r="F13" s="92">
        <v>39013724.960000001</v>
      </c>
      <c r="I13" s="20">
        <v>2012</v>
      </c>
      <c r="J13" s="64"/>
      <c r="K13" s="64">
        <v>47633.25</v>
      </c>
      <c r="L13" s="64"/>
      <c r="M13" s="64">
        <v>30526825.02</v>
      </c>
      <c r="N13" s="64"/>
      <c r="O13" s="64">
        <v>1164470.1599999999</v>
      </c>
      <c r="P13" s="64">
        <v>29691526.02</v>
      </c>
      <c r="Q13" s="64">
        <v>142063.82</v>
      </c>
      <c r="R13" s="64">
        <v>34450</v>
      </c>
      <c r="S13" s="64"/>
      <c r="T13" s="64"/>
      <c r="U13" s="64">
        <v>61606968.270000003</v>
      </c>
    </row>
    <row r="14" spans="1:21" ht="15.75" thickBot="1" x14ac:dyDescent="0.3">
      <c r="A14" s="90">
        <v>2006</v>
      </c>
      <c r="B14" s="91" t="s">
        <v>102</v>
      </c>
      <c r="C14" s="92">
        <v>4366686874.21</v>
      </c>
      <c r="D14" s="92">
        <v>364084420.60000002</v>
      </c>
      <c r="E14" s="92">
        <v>0</v>
      </c>
      <c r="F14" s="92">
        <v>19153429.449999999</v>
      </c>
      <c r="I14" s="20">
        <v>2013</v>
      </c>
      <c r="J14" s="64"/>
      <c r="K14" s="64">
        <v>80.25</v>
      </c>
      <c r="L14" s="64"/>
      <c r="M14" s="64">
        <v>25502490.579999998</v>
      </c>
      <c r="N14" s="64"/>
      <c r="O14" s="64">
        <v>1287715.49</v>
      </c>
      <c r="P14" s="64">
        <v>34318658.659999996</v>
      </c>
      <c r="Q14" s="64">
        <v>229925.7</v>
      </c>
      <c r="R14" s="64">
        <v>150.01</v>
      </c>
      <c r="S14" s="64"/>
      <c r="T14" s="64"/>
      <c r="U14" s="64">
        <v>61339020.68999999</v>
      </c>
    </row>
    <row r="15" spans="1:21" ht="15.75" thickBot="1" x14ac:dyDescent="0.3">
      <c r="A15" s="90">
        <v>2006</v>
      </c>
      <c r="B15" s="91" t="s">
        <v>135</v>
      </c>
      <c r="C15" s="92">
        <v>4366686874.21</v>
      </c>
      <c r="D15" s="92">
        <v>364084420.60000002</v>
      </c>
      <c r="E15" s="92">
        <v>0</v>
      </c>
      <c r="F15" s="92">
        <v>606594.77</v>
      </c>
      <c r="I15" s="20">
        <v>2014</v>
      </c>
      <c r="J15" s="64"/>
      <c r="K15" s="64">
        <v>25.06</v>
      </c>
      <c r="L15" s="64"/>
      <c r="M15" s="64">
        <v>25407254.210000001</v>
      </c>
      <c r="N15" s="64"/>
      <c r="O15" s="64">
        <v>2695808.22</v>
      </c>
      <c r="P15" s="64">
        <v>42937953.509999998</v>
      </c>
      <c r="Q15" s="64">
        <v>76005.320000000007</v>
      </c>
      <c r="R15" s="64">
        <v>50</v>
      </c>
      <c r="S15" s="64"/>
      <c r="T15" s="64"/>
      <c r="U15" s="64">
        <v>71117096.319999993</v>
      </c>
    </row>
    <row r="16" spans="1:21" ht="15.75" thickBot="1" x14ac:dyDescent="0.3">
      <c r="A16" s="90">
        <v>2006</v>
      </c>
      <c r="B16" s="91" t="s">
        <v>136</v>
      </c>
      <c r="C16" s="92">
        <v>4366686874.21</v>
      </c>
      <c r="D16" s="92">
        <v>364084420.60000002</v>
      </c>
      <c r="E16" s="92">
        <v>0</v>
      </c>
      <c r="F16" s="92">
        <v>418983.99</v>
      </c>
      <c r="I16" s="20">
        <v>2015</v>
      </c>
      <c r="J16" s="64"/>
      <c r="K16" s="64">
        <v>2.5499999999999998</v>
      </c>
      <c r="L16" s="64"/>
      <c r="M16" s="64">
        <v>26737160.600000001</v>
      </c>
      <c r="N16" s="64"/>
      <c r="O16" s="64">
        <v>2786141.99</v>
      </c>
      <c r="P16" s="64">
        <v>46678085.299999997</v>
      </c>
      <c r="Q16" s="64">
        <v>376000.34</v>
      </c>
      <c r="R16" s="64">
        <v>50</v>
      </c>
      <c r="S16" s="64"/>
      <c r="T16" s="64"/>
      <c r="U16" s="64">
        <v>76577440.780000001</v>
      </c>
    </row>
    <row r="17" spans="1:21" ht="15.75" thickBot="1" x14ac:dyDescent="0.3">
      <c r="A17" s="90">
        <v>2006</v>
      </c>
      <c r="B17" s="91" t="s">
        <v>137</v>
      </c>
      <c r="C17" s="92">
        <v>4366686874.21</v>
      </c>
      <c r="D17" s="92">
        <v>364084420.60000002</v>
      </c>
      <c r="E17" s="92">
        <v>0</v>
      </c>
      <c r="F17" s="92">
        <v>7076678.1399999997</v>
      </c>
      <c r="I17" s="20">
        <v>2016</v>
      </c>
      <c r="J17" s="64"/>
      <c r="K17" s="64">
        <v>0.04</v>
      </c>
      <c r="L17" s="64"/>
      <c r="M17" s="64">
        <v>25956720.859999999</v>
      </c>
      <c r="N17" s="64"/>
      <c r="O17" s="64">
        <v>2985709.78</v>
      </c>
      <c r="P17" s="64">
        <v>45996120.5</v>
      </c>
      <c r="Q17" s="64">
        <v>1464424.15</v>
      </c>
      <c r="R17" s="64">
        <v>36</v>
      </c>
      <c r="S17" s="64"/>
      <c r="T17" s="64"/>
      <c r="U17" s="64">
        <v>76403011.330000013</v>
      </c>
    </row>
    <row r="18" spans="1:21" ht="15.75" thickBot="1" x14ac:dyDescent="0.3">
      <c r="A18" s="90">
        <v>2006</v>
      </c>
      <c r="B18" s="91" t="s">
        <v>138</v>
      </c>
      <c r="C18" s="92">
        <v>4366686874.21</v>
      </c>
      <c r="D18" s="92">
        <v>364084420.60000002</v>
      </c>
      <c r="E18" s="92">
        <v>0</v>
      </c>
      <c r="F18" s="92">
        <v>285653.92</v>
      </c>
      <c r="I18" s="20">
        <v>2017</v>
      </c>
      <c r="J18" s="64"/>
      <c r="K18" s="64">
        <v>7.0000000000000007E-2</v>
      </c>
      <c r="L18" s="64"/>
      <c r="M18" s="64">
        <v>23675829.190000001</v>
      </c>
      <c r="N18" s="64"/>
      <c r="O18" s="64">
        <v>2552947.17</v>
      </c>
      <c r="P18" s="64">
        <v>52265720.539999999</v>
      </c>
      <c r="Q18" s="64">
        <v>1504659.17</v>
      </c>
      <c r="R18" s="64"/>
      <c r="S18" s="64">
        <v>272273.09000000003</v>
      </c>
      <c r="T18" s="64"/>
      <c r="U18" s="64">
        <v>80271429.230000004</v>
      </c>
    </row>
    <row r="19" spans="1:21" ht="15.75" thickBot="1" x14ac:dyDescent="0.3">
      <c r="A19" s="90">
        <v>2006</v>
      </c>
      <c r="B19" s="91" t="s">
        <v>139</v>
      </c>
      <c r="C19" s="92">
        <v>4366686874.21</v>
      </c>
      <c r="D19" s="92">
        <v>364084420.60000002</v>
      </c>
      <c r="E19" s="92">
        <v>0</v>
      </c>
      <c r="F19" s="92">
        <v>587037.49</v>
      </c>
      <c r="I19" s="20">
        <v>2018</v>
      </c>
      <c r="J19" s="64"/>
      <c r="K19" s="64">
        <v>0.04</v>
      </c>
      <c r="L19" s="64"/>
      <c r="M19" s="64">
        <v>23406932.77</v>
      </c>
      <c r="N19" s="64"/>
      <c r="O19" s="64">
        <v>1427485</v>
      </c>
      <c r="P19" s="64">
        <v>51929922.799999997</v>
      </c>
      <c r="Q19" s="64">
        <v>1176614.08</v>
      </c>
      <c r="R19" s="64">
        <v>50</v>
      </c>
      <c r="S19" s="64">
        <v>2737767.79</v>
      </c>
      <c r="T19" s="64"/>
      <c r="U19" s="64">
        <v>80678772.480000004</v>
      </c>
    </row>
    <row r="20" spans="1:21" ht="15.75" thickBot="1" x14ac:dyDescent="0.3">
      <c r="A20" s="90">
        <v>2006</v>
      </c>
      <c r="B20" s="91" t="s">
        <v>140</v>
      </c>
      <c r="C20" s="92">
        <v>4366686874.21</v>
      </c>
      <c r="D20" s="92">
        <v>364084420.60000002</v>
      </c>
      <c r="E20" s="92">
        <v>0</v>
      </c>
      <c r="F20" s="92">
        <v>98.77</v>
      </c>
      <c r="I20" s="20">
        <v>2019</v>
      </c>
      <c r="J20" s="64"/>
      <c r="K20" s="64">
        <v>58164.56</v>
      </c>
      <c r="L20" s="64"/>
      <c r="M20" s="64">
        <v>23399562.489999998</v>
      </c>
      <c r="N20" s="64"/>
      <c r="O20" s="64">
        <v>1125731.94</v>
      </c>
      <c r="P20" s="64">
        <v>47654274.560000002</v>
      </c>
      <c r="Q20" s="64">
        <v>418367.21</v>
      </c>
      <c r="R20" s="64"/>
      <c r="S20" s="64">
        <v>2911867.49</v>
      </c>
      <c r="T20" s="64"/>
      <c r="U20" s="64">
        <v>75567968.249999985</v>
      </c>
    </row>
    <row r="21" spans="1:21" ht="15.75" thickBot="1" x14ac:dyDescent="0.3">
      <c r="A21" s="90">
        <v>2006</v>
      </c>
      <c r="B21" s="91" t="s">
        <v>141</v>
      </c>
      <c r="C21" s="92">
        <v>4366686874.21</v>
      </c>
      <c r="D21" s="92">
        <v>364084420.60000002</v>
      </c>
      <c r="E21" s="92">
        <v>0</v>
      </c>
      <c r="F21" s="92">
        <v>1753.26</v>
      </c>
      <c r="I21" s="20">
        <v>2020</v>
      </c>
      <c r="J21" s="64"/>
      <c r="K21" s="64">
        <v>26.98</v>
      </c>
      <c r="L21" s="64"/>
      <c r="M21" s="64">
        <v>15874211.859999999</v>
      </c>
      <c r="N21" s="64"/>
      <c r="O21" s="64">
        <v>805340.31</v>
      </c>
      <c r="P21" s="64">
        <v>37828092.520000003</v>
      </c>
      <c r="Q21" s="64">
        <v>886446.19</v>
      </c>
      <c r="R21" s="64">
        <v>50</v>
      </c>
      <c r="S21" s="64">
        <v>2010621.48</v>
      </c>
      <c r="T21" s="64"/>
      <c r="U21" s="64">
        <v>57404789.339999996</v>
      </c>
    </row>
    <row r="22" spans="1:21" ht="15.75" thickBot="1" x14ac:dyDescent="0.3">
      <c r="A22" s="90">
        <v>2007</v>
      </c>
      <c r="B22" s="91" t="s">
        <v>134</v>
      </c>
      <c r="C22" s="92">
        <v>4352968473.7200003</v>
      </c>
      <c r="D22" s="92">
        <v>367531498.35000002</v>
      </c>
      <c r="E22" s="92">
        <v>0</v>
      </c>
      <c r="F22" s="92">
        <v>41588228.039999999</v>
      </c>
      <c r="I22" s="20">
        <v>2021</v>
      </c>
      <c r="J22" s="64"/>
      <c r="K22" s="64"/>
      <c r="L22" s="64"/>
      <c r="M22" s="64">
        <v>156111</v>
      </c>
      <c r="N22" s="64"/>
      <c r="O22" s="64"/>
      <c r="P22" s="64">
        <v>4841240.5199999996</v>
      </c>
      <c r="Q22" s="64">
        <v>783.24</v>
      </c>
      <c r="R22" s="64"/>
      <c r="S22" s="64">
        <v>1279.24</v>
      </c>
      <c r="T22" s="64"/>
      <c r="U22" s="64">
        <v>4999414</v>
      </c>
    </row>
    <row r="23" spans="1:21" ht="15.75" thickBot="1" x14ac:dyDescent="0.3">
      <c r="A23" s="90">
        <v>2007</v>
      </c>
      <c r="B23" s="91" t="s">
        <v>102</v>
      </c>
      <c r="C23" s="92">
        <v>4352968473.7200003</v>
      </c>
      <c r="D23" s="92">
        <v>367531498.35000002</v>
      </c>
      <c r="E23" s="92">
        <v>0</v>
      </c>
      <c r="F23" s="92">
        <v>22442481.030000001</v>
      </c>
      <c r="I23" s="20" t="s">
        <v>142</v>
      </c>
      <c r="J23" s="64"/>
      <c r="K23" s="64"/>
      <c r="L23" s="64"/>
      <c r="M23" s="64"/>
      <c r="N23" s="64"/>
      <c r="O23" s="64"/>
      <c r="P23" s="64"/>
      <c r="Q23" s="64"/>
      <c r="R23" s="64"/>
      <c r="S23" s="64"/>
      <c r="T23" s="64">
        <v>1107179510.8199999</v>
      </c>
      <c r="U23" s="64">
        <v>1107179510.8199999</v>
      </c>
    </row>
    <row r="24" spans="1:21" ht="15.75" thickBot="1" x14ac:dyDescent="0.3">
      <c r="A24" s="90">
        <v>2007</v>
      </c>
      <c r="B24" s="91" t="s">
        <v>135</v>
      </c>
      <c r="C24" s="92">
        <v>4352968473.7200003</v>
      </c>
      <c r="D24" s="92">
        <v>367531498.35000002</v>
      </c>
      <c r="E24" s="92">
        <v>0</v>
      </c>
      <c r="F24" s="92">
        <v>237411.12</v>
      </c>
      <c r="I24" s="20" t="s">
        <v>89</v>
      </c>
      <c r="J24" s="64">
        <v>1197265.28</v>
      </c>
      <c r="K24" s="64">
        <v>1453955.8200000003</v>
      </c>
      <c r="L24" s="64">
        <v>1424239.73</v>
      </c>
      <c r="M24" s="64">
        <v>487791680.62</v>
      </c>
      <c r="N24" s="64">
        <v>1423335.06</v>
      </c>
      <c r="O24" s="64">
        <v>51437782.870000005</v>
      </c>
      <c r="P24" s="64">
        <v>545548126.15999997</v>
      </c>
      <c r="Q24" s="64">
        <v>6666662.9100000001</v>
      </c>
      <c r="R24" s="64">
        <v>2302653.2799999998</v>
      </c>
      <c r="S24" s="64">
        <v>7933809.0899999999</v>
      </c>
      <c r="T24" s="64">
        <v>1107179510.8199999</v>
      </c>
      <c r="U24" s="64">
        <v>2214359021.6400003</v>
      </c>
    </row>
    <row r="25" spans="1:21" ht="15.75" thickBot="1" x14ac:dyDescent="0.3">
      <c r="A25" s="90">
        <v>2007</v>
      </c>
      <c r="B25" s="91" t="s">
        <v>136</v>
      </c>
      <c r="C25" s="92">
        <v>4352968473.7200003</v>
      </c>
      <c r="D25" s="92">
        <v>367531498.35000002</v>
      </c>
      <c r="E25" s="92">
        <v>0</v>
      </c>
      <c r="F25" s="92">
        <v>270566.62</v>
      </c>
    </row>
    <row r="26" spans="1:21" ht="15.75" thickBot="1" x14ac:dyDescent="0.3">
      <c r="A26" s="90">
        <v>2007</v>
      </c>
      <c r="B26" s="91" t="s">
        <v>137</v>
      </c>
      <c r="C26" s="92">
        <v>4352968473.7200003</v>
      </c>
      <c r="D26" s="92">
        <v>367531498.35000002</v>
      </c>
      <c r="E26" s="92">
        <v>0</v>
      </c>
      <c r="F26" s="92">
        <v>6610009.5499999998</v>
      </c>
    </row>
    <row r="27" spans="1:21" ht="15.75" thickBot="1" x14ac:dyDescent="0.3">
      <c r="A27" s="90">
        <v>2007</v>
      </c>
      <c r="B27" s="91" t="s">
        <v>138</v>
      </c>
      <c r="C27" s="92">
        <v>4352968473.7200003</v>
      </c>
      <c r="D27" s="92">
        <v>367531498.35000002</v>
      </c>
      <c r="E27" s="92">
        <v>0</v>
      </c>
      <c r="F27" s="92">
        <v>339149.69</v>
      </c>
    </row>
    <row r="28" spans="1:21" ht="15.75" thickBot="1" x14ac:dyDescent="0.3">
      <c r="A28" s="90">
        <v>2007</v>
      </c>
      <c r="B28" s="91" t="s">
        <v>139</v>
      </c>
      <c r="C28" s="92">
        <v>4352968473.7200003</v>
      </c>
      <c r="D28" s="92">
        <v>367531498.35000002</v>
      </c>
      <c r="E28" s="92">
        <v>0</v>
      </c>
      <c r="F28" s="92">
        <v>181646.26</v>
      </c>
    </row>
    <row r="29" spans="1:21" ht="15.75" thickBot="1" x14ac:dyDescent="0.3">
      <c r="A29" s="90">
        <v>2007</v>
      </c>
      <c r="B29" s="91" t="s">
        <v>140</v>
      </c>
      <c r="C29" s="92">
        <v>4352968473.7200003</v>
      </c>
      <c r="D29" s="92">
        <v>367531498.35000002</v>
      </c>
      <c r="E29" s="92">
        <v>0</v>
      </c>
      <c r="F29" s="92">
        <v>26.32</v>
      </c>
    </row>
    <row r="30" spans="1:21" ht="15.75" thickBot="1" x14ac:dyDescent="0.3">
      <c r="A30" s="90">
        <v>2007</v>
      </c>
      <c r="B30" s="91" t="s">
        <v>141</v>
      </c>
      <c r="C30" s="92">
        <v>4352968473.7200003</v>
      </c>
      <c r="D30" s="92">
        <v>367531498.35000002</v>
      </c>
      <c r="E30" s="92">
        <v>0</v>
      </c>
      <c r="F30" s="92">
        <v>171239.45</v>
      </c>
    </row>
    <row r="31" spans="1:21" ht="15.75" thickBot="1" x14ac:dyDescent="0.3">
      <c r="A31" s="90">
        <v>2008</v>
      </c>
      <c r="B31" s="91" t="s">
        <v>134</v>
      </c>
      <c r="C31" s="92">
        <v>4445573703.5799999</v>
      </c>
      <c r="D31" s="92">
        <v>375232895.51999998</v>
      </c>
      <c r="E31" s="92">
        <v>0</v>
      </c>
      <c r="F31" s="92">
        <v>40316901.700000003</v>
      </c>
    </row>
    <row r="32" spans="1:21" ht="15.75" thickBot="1" x14ac:dyDescent="0.3">
      <c r="A32" s="90">
        <v>2008</v>
      </c>
      <c r="B32" s="91" t="s">
        <v>102</v>
      </c>
      <c r="C32" s="92">
        <v>4445573703.5799999</v>
      </c>
      <c r="D32" s="92">
        <v>375232895.51999998</v>
      </c>
      <c r="E32" s="92">
        <v>0</v>
      </c>
      <c r="F32" s="92">
        <v>21046201.260000002</v>
      </c>
    </row>
    <row r="33" spans="1:6" ht="15.75" thickBot="1" x14ac:dyDescent="0.3">
      <c r="A33" s="90">
        <v>2008</v>
      </c>
      <c r="B33" s="91" t="s">
        <v>136</v>
      </c>
      <c r="C33" s="92">
        <v>4445573703.5799999</v>
      </c>
      <c r="D33" s="92">
        <v>375232895.51999998</v>
      </c>
      <c r="E33" s="92">
        <v>0</v>
      </c>
      <c r="F33" s="92">
        <v>0.02</v>
      </c>
    </row>
    <row r="34" spans="1:6" ht="15.75" thickBot="1" x14ac:dyDescent="0.3">
      <c r="A34" s="90">
        <v>2008</v>
      </c>
      <c r="B34" s="91" t="s">
        <v>137</v>
      </c>
      <c r="C34" s="92">
        <v>4445573703.5799999</v>
      </c>
      <c r="D34" s="92">
        <v>375232895.51999998</v>
      </c>
      <c r="E34" s="92">
        <v>0</v>
      </c>
      <c r="F34" s="92">
        <v>6918767.6600000001</v>
      </c>
    </row>
    <row r="35" spans="1:6" ht="15.75" thickBot="1" x14ac:dyDescent="0.3">
      <c r="A35" s="90">
        <v>2008</v>
      </c>
      <c r="B35" s="91" t="s">
        <v>138</v>
      </c>
      <c r="C35" s="92">
        <v>4445573703.5799999</v>
      </c>
      <c r="D35" s="92">
        <v>375232895.51999998</v>
      </c>
      <c r="E35" s="92">
        <v>0</v>
      </c>
      <c r="F35" s="92">
        <v>372557.19</v>
      </c>
    </row>
    <row r="36" spans="1:6" ht="15.75" thickBot="1" x14ac:dyDescent="0.3">
      <c r="A36" s="90">
        <v>2008</v>
      </c>
      <c r="B36" s="91" t="s">
        <v>139</v>
      </c>
      <c r="C36" s="92">
        <v>4445573703.5799999</v>
      </c>
      <c r="D36" s="92">
        <v>375232895.51999998</v>
      </c>
      <c r="E36" s="92">
        <v>0</v>
      </c>
      <c r="F36" s="92">
        <v>6913.01</v>
      </c>
    </row>
    <row r="37" spans="1:6" ht="15.75" thickBot="1" x14ac:dyDescent="0.3">
      <c r="A37" s="90">
        <v>2008</v>
      </c>
      <c r="B37" s="91" t="s">
        <v>140</v>
      </c>
      <c r="C37" s="92">
        <v>4445573703.5799999</v>
      </c>
      <c r="D37" s="92">
        <v>375232895.51999998</v>
      </c>
      <c r="E37" s="92">
        <v>0</v>
      </c>
      <c r="F37" s="92">
        <v>24.06</v>
      </c>
    </row>
    <row r="38" spans="1:6" ht="15.75" thickBot="1" x14ac:dyDescent="0.3">
      <c r="A38" s="90">
        <v>2008</v>
      </c>
      <c r="B38" s="91" t="s">
        <v>141</v>
      </c>
      <c r="C38" s="92">
        <v>4445573703.5799999</v>
      </c>
      <c r="D38" s="92">
        <v>375232895.51999998</v>
      </c>
      <c r="E38" s="92">
        <v>0</v>
      </c>
      <c r="F38" s="92">
        <v>1017.72</v>
      </c>
    </row>
    <row r="39" spans="1:6" ht="15.75" thickBot="1" x14ac:dyDescent="0.3">
      <c r="A39" s="90">
        <v>2009</v>
      </c>
      <c r="B39" s="91" t="s">
        <v>134</v>
      </c>
      <c r="C39" s="92">
        <v>4613581411.3599997</v>
      </c>
      <c r="D39" s="92">
        <v>387899089.68000001</v>
      </c>
      <c r="E39" s="92">
        <v>0</v>
      </c>
      <c r="F39" s="92">
        <v>38866215.829999998</v>
      </c>
    </row>
    <row r="40" spans="1:6" ht="15.75" thickBot="1" x14ac:dyDescent="0.3">
      <c r="A40" s="90">
        <v>2009</v>
      </c>
      <c r="B40" s="91" t="s">
        <v>102</v>
      </c>
      <c r="C40" s="92">
        <v>4613581411.3599997</v>
      </c>
      <c r="D40" s="92">
        <v>387899089.68000001</v>
      </c>
      <c r="E40" s="92">
        <v>0</v>
      </c>
      <c r="F40" s="92">
        <v>22435844.100000001</v>
      </c>
    </row>
    <row r="41" spans="1:6" ht="15.75" thickBot="1" x14ac:dyDescent="0.3">
      <c r="A41" s="90">
        <v>2009</v>
      </c>
      <c r="B41" s="91" t="s">
        <v>137</v>
      </c>
      <c r="C41" s="92">
        <v>4613581411.3599997</v>
      </c>
      <c r="D41" s="92">
        <v>387899089.68000001</v>
      </c>
      <c r="E41" s="92">
        <v>0</v>
      </c>
      <c r="F41" s="92">
        <v>3683523.53</v>
      </c>
    </row>
    <row r="42" spans="1:6" ht="15.75" thickBot="1" x14ac:dyDescent="0.3">
      <c r="A42" s="90">
        <v>2009</v>
      </c>
      <c r="B42" s="91" t="s">
        <v>138</v>
      </c>
      <c r="C42" s="92">
        <v>4613581411.3599997</v>
      </c>
      <c r="D42" s="92">
        <v>387899089.68000001</v>
      </c>
      <c r="E42" s="92">
        <v>0</v>
      </c>
      <c r="F42" s="92">
        <v>392861.34</v>
      </c>
    </row>
    <row r="43" spans="1:6" ht="15.75" thickBot="1" x14ac:dyDescent="0.3">
      <c r="A43" s="90">
        <v>2009</v>
      </c>
      <c r="B43" s="91" t="s">
        <v>139</v>
      </c>
      <c r="C43" s="92">
        <v>4613581411.3599997</v>
      </c>
      <c r="D43" s="92">
        <v>387899089.68000001</v>
      </c>
      <c r="E43" s="92">
        <v>0</v>
      </c>
      <c r="F43" s="92">
        <v>3978.45</v>
      </c>
    </row>
    <row r="44" spans="1:6" ht="15.75" thickBot="1" x14ac:dyDescent="0.3">
      <c r="A44" s="90">
        <v>2009</v>
      </c>
      <c r="B44" s="91" t="s">
        <v>140</v>
      </c>
      <c r="C44" s="92">
        <v>4613581411.3599997</v>
      </c>
      <c r="D44" s="92">
        <v>387899089.68000001</v>
      </c>
      <c r="E44" s="92">
        <v>0</v>
      </c>
      <c r="F44" s="92">
        <v>11.57</v>
      </c>
    </row>
    <row r="45" spans="1:6" ht="15.75" thickBot="1" x14ac:dyDescent="0.3">
      <c r="A45" s="90">
        <v>2009</v>
      </c>
      <c r="B45" s="91" t="s">
        <v>141</v>
      </c>
      <c r="C45" s="92">
        <v>4613581411.3599997</v>
      </c>
      <c r="D45" s="92">
        <v>387899089.68000001</v>
      </c>
      <c r="E45" s="92">
        <v>0</v>
      </c>
      <c r="F45" s="92">
        <v>2252.06</v>
      </c>
    </row>
    <row r="46" spans="1:6" ht="15.75" thickBot="1" x14ac:dyDescent="0.3">
      <c r="A46" s="90">
        <v>2010</v>
      </c>
      <c r="B46" s="91" t="s">
        <v>134</v>
      </c>
      <c r="C46" s="92">
        <v>4723013429.3599997</v>
      </c>
      <c r="D46" s="92">
        <v>407073950.49000001</v>
      </c>
      <c r="E46" s="92">
        <v>0</v>
      </c>
      <c r="F46" s="92">
        <v>36764143.990000002</v>
      </c>
    </row>
    <row r="47" spans="1:6" ht="15.75" thickBot="1" x14ac:dyDescent="0.3">
      <c r="A47" s="90">
        <v>2010</v>
      </c>
      <c r="B47" s="91" t="s">
        <v>102</v>
      </c>
      <c r="C47" s="92">
        <v>4723013429.3599997</v>
      </c>
      <c r="D47" s="92">
        <v>407073950.49000001</v>
      </c>
      <c r="E47" s="92">
        <v>0</v>
      </c>
      <c r="F47" s="92">
        <v>23557720.710000001</v>
      </c>
    </row>
    <row r="48" spans="1:6" ht="15.75" thickBot="1" x14ac:dyDescent="0.3">
      <c r="A48" s="90">
        <v>2010</v>
      </c>
      <c r="B48" s="91" t="s">
        <v>137</v>
      </c>
      <c r="C48" s="92">
        <v>4723013429.3599997</v>
      </c>
      <c r="D48" s="92">
        <v>407073950.49000001</v>
      </c>
      <c r="E48" s="92">
        <v>0</v>
      </c>
      <c r="F48" s="92">
        <v>2074728.59</v>
      </c>
    </row>
    <row r="49" spans="1:6" ht="15.75" thickBot="1" x14ac:dyDescent="0.3">
      <c r="A49" s="90">
        <v>2010</v>
      </c>
      <c r="B49" s="91" t="s">
        <v>138</v>
      </c>
      <c r="C49" s="92">
        <v>4723013429.3599997</v>
      </c>
      <c r="D49" s="92">
        <v>407073950.49000001</v>
      </c>
      <c r="E49" s="92">
        <v>0</v>
      </c>
      <c r="F49" s="92">
        <v>318298.88</v>
      </c>
    </row>
    <row r="50" spans="1:6" ht="15.75" thickBot="1" x14ac:dyDescent="0.3">
      <c r="A50" s="90">
        <v>2010</v>
      </c>
      <c r="B50" s="91" t="s">
        <v>139</v>
      </c>
      <c r="C50" s="92">
        <v>4723013429.3599997</v>
      </c>
      <c r="D50" s="92">
        <v>407073950.49000001</v>
      </c>
      <c r="E50" s="92">
        <v>0</v>
      </c>
      <c r="F50" s="92">
        <v>3313.49</v>
      </c>
    </row>
    <row r="51" spans="1:6" ht="15.75" thickBot="1" x14ac:dyDescent="0.3">
      <c r="A51" s="90">
        <v>2010</v>
      </c>
      <c r="B51" s="91" t="s">
        <v>140</v>
      </c>
      <c r="C51" s="92">
        <v>4723013429.3599997</v>
      </c>
      <c r="D51" s="92">
        <v>407073950.49000001</v>
      </c>
      <c r="E51" s="92">
        <v>0</v>
      </c>
      <c r="F51" s="92">
        <v>213931.8</v>
      </c>
    </row>
    <row r="52" spans="1:6" ht="15.75" thickBot="1" x14ac:dyDescent="0.3">
      <c r="A52" s="90">
        <v>2010</v>
      </c>
      <c r="B52" s="91" t="s">
        <v>141</v>
      </c>
      <c r="C52" s="92">
        <v>4723013429.3599997</v>
      </c>
      <c r="D52" s="92">
        <v>407073950.49000001</v>
      </c>
      <c r="E52" s="92">
        <v>0</v>
      </c>
      <c r="F52" s="92">
        <v>1532.32</v>
      </c>
    </row>
    <row r="53" spans="1:6" ht="15.75" thickBot="1" x14ac:dyDescent="0.3">
      <c r="A53" s="90">
        <v>2011</v>
      </c>
      <c r="B53" s="91" t="s">
        <v>134</v>
      </c>
      <c r="C53" s="92">
        <v>4988007891.8699999</v>
      </c>
      <c r="D53" s="92">
        <v>434415889.69</v>
      </c>
      <c r="E53" s="92">
        <v>0</v>
      </c>
      <c r="F53" s="92">
        <v>32965488.02</v>
      </c>
    </row>
    <row r="54" spans="1:6" ht="15.75" thickBot="1" x14ac:dyDescent="0.3">
      <c r="A54" s="90">
        <v>2011</v>
      </c>
      <c r="B54" s="91" t="s">
        <v>102</v>
      </c>
      <c r="C54" s="92">
        <v>4988007891.8699999</v>
      </c>
      <c r="D54" s="92">
        <v>434415889.69</v>
      </c>
      <c r="E54" s="92">
        <v>0</v>
      </c>
      <c r="F54" s="92">
        <v>27089175.260000002</v>
      </c>
    </row>
    <row r="55" spans="1:6" ht="15.75" thickBot="1" x14ac:dyDescent="0.3">
      <c r="A55" s="90">
        <v>2011</v>
      </c>
      <c r="B55" s="91" t="s">
        <v>137</v>
      </c>
      <c r="C55" s="92">
        <v>4988007891.8699999</v>
      </c>
      <c r="D55" s="92">
        <v>434415889.69</v>
      </c>
      <c r="E55" s="92">
        <v>0</v>
      </c>
      <c r="F55" s="92">
        <v>1280195.29</v>
      </c>
    </row>
    <row r="56" spans="1:6" ht="15.75" thickBot="1" x14ac:dyDescent="0.3">
      <c r="A56" s="90">
        <v>2011</v>
      </c>
      <c r="B56" s="91" t="s">
        <v>138</v>
      </c>
      <c r="C56" s="92">
        <v>4988007891.8699999</v>
      </c>
      <c r="D56" s="92">
        <v>434415889.69</v>
      </c>
      <c r="E56" s="92">
        <v>0</v>
      </c>
      <c r="F56" s="92">
        <v>346004.7</v>
      </c>
    </row>
    <row r="57" spans="1:6" ht="15.75" thickBot="1" x14ac:dyDescent="0.3">
      <c r="A57" s="90">
        <v>2011</v>
      </c>
      <c r="B57" s="91" t="s">
        <v>139</v>
      </c>
      <c r="C57" s="92">
        <v>4988007891.8699999</v>
      </c>
      <c r="D57" s="92">
        <v>434415889.69</v>
      </c>
      <c r="E57" s="92">
        <v>0</v>
      </c>
      <c r="F57" s="92">
        <v>58</v>
      </c>
    </row>
    <row r="58" spans="1:6" ht="15.75" thickBot="1" x14ac:dyDescent="0.3">
      <c r="A58" s="90">
        <v>2011</v>
      </c>
      <c r="B58" s="91" t="s">
        <v>140</v>
      </c>
      <c r="C58" s="92">
        <v>4988007891.8699999</v>
      </c>
      <c r="D58" s="92">
        <v>434415889.69</v>
      </c>
      <c r="E58" s="92">
        <v>0</v>
      </c>
      <c r="F58" s="92">
        <v>1131064.8</v>
      </c>
    </row>
    <row r="59" spans="1:6" ht="15.75" thickBot="1" x14ac:dyDescent="0.3">
      <c r="A59" s="90">
        <v>2011</v>
      </c>
      <c r="B59" s="91" t="s">
        <v>141</v>
      </c>
      <c r="C59" s="92">
        <v>4988007891.8699999</v>
      </c>
      <c r="D59" s="92">
        <v>434415889.69</v>
      </c>
      <c r="E59" s="92">
        <v>0</v>
      </c>
      <c r="F59" s="92">
        <v>212782.48</v>
      </c>
    </row>
    <row r="60" spans="1:6" ht="15.75" thickBot="1" x14ac:dyDescent="0.3">
      <c r="A60" s="90">
        <v>2012</v>
      </c>
      <c r="B60" s="91" t="s">
        <v>134</v>
      </c>
      <c r="C60" s="92">
        <v>5113108047.9899998</v>
      </c>
      <c r="D60" s="92">
        <v>448832810.55000001</v>
      </c>
      <c r="E60" s="92">
        <v>0</v>
      </c>
      <c r="F60" s="92">
        <v>30526825.02</v>
      </c>
    </row>
    <row r="61" spans="1:6" ht="15.75" thickBot="1" x14ac:dyDescent="0.3">
      <c r="A61" s="90">
        <v>2012</v>
      </c>
      <c r="B61" s="91" t="s">
        <v>102</v>
      </c>
      <c r="C61" s="92">
        <v>5113108047.9899998</v>
      </c>
      <c r="D61" s="92">
        <v>448832810.55000001</v>
      </c>
      <c r="E61" s="92">
        <v>0</v>
      </c>
      <c r="F61" s="92">
        <v>29691526.02</v>
      </c>
    </row>
    <row r="62" spans="1:6" ht="15.75" thickBot="1" x14ac:dyDescent="0.3">
      <c r="A62" s="90">
        <v>2012</v>
      </c>
      <c r="B62" s="91" t="s">
        <v>137</v>
      </c>
      <c r="C62" s="92">
        <v>5113108047.9899998</v>
      </c>
      <c r="D62" s="92">
        <v>448832810.55000001</v>
      </c>
      <c r="E62" s="92">
        <v>0</v>
      </c>
      <c r="F62" s="92">
        <v>1164470.1599999999</v>
      </c>
    </row>
    <row r="63" spans="1:6" ht="15.75" thickBot="1" x14ac:dyDescent="0.3">
      <c r="A63" s="90">
        <v>2012</v>
      </c>
      <c r="B63" s="91" t="s">
        <v>138</v>
      </c>
      <c r="C63" s="92">
        <v>5113108047.9899998</v>
      </c>
      <c r="D63" s="92">
        <v>448832810.55000001</v>
      </c>
      <c r="E63" s="92">
        <v>0</v>
      </c>
      <c r="F63" s="92">
        <v>34450</v>
      </c>
    </row>
    <row r="64" spans="1:6" ht="15.75" thickBot="1" x14ac:dyDescent="0.3">
      <c r="A64" s="90">
        <v>2012</v>
      </c>
      <c r="B64" s="91" t="s">
        <v>140</v>
      </c>
      <c r="C64" s="92">
        <v>5113108047.9899998</v>
      </c>
      <c r="D64" s="92">
        <v>448832810.55000001</v>
      </c>
      <c r="E64" s="92">
        <v>0</v>
      </c>
      <c r="F64" s="92">
        <v>47633.25</v>
      </c>
    </row>
    <row r="65" spans="1:6" ht="15.75" thickBot="1" x14ac:dyDescent="0.3">
      <c r="A65" s="90">
        <v>2012</v>
      </c>
      <c r="B65" s="91" t="s">
        <v>141</v>
      </c>
      <c r="C65" s="92">
        <v>5113108047.9899998</v>
      </c>
      <c r="D65" s="92">
        <v>448832810.55000001</v>
      </c>
      <c r="E65" s="92">
        <v>0</v>
      </c>
      <c r="F65" s="92">
        <v>142063.82</v>
      </c>
    </row>
    <row r="66" spans="1:6" ht="15.75" thickBot="1" x14ac:dyDescent="0.3">
      <c r="A66" s="90">
        <v>2013</v>
      </c>
      <c r="B66" s="91" t="s">
        <v>134</v>
      </c>
      <c r="C66" s="92">
        <v>5111331229.8400002</v>
      </c>
      <c r="D66" s="92">
        <v>442365887.73000002</v>
      </c>
      <c r="E66" s="92">
        <v>7444824.2800000003</v>
      </c>
      <c r="F66" s="92">
        <v>25502490.579999998</v>
      </c>
    </row>
    <row r="67" spans="1:6" ht="15.75" thickBot="1" x14ac:dyDescent="0.3">
      <c r="A67" s="90">
        <v>2013</v>
      </c>
      <c r="B67" s="91" t="s">
        <v>102</v>
      </c>
      <c r="C67" s="92">
        <v>5111331229.8400002</v>
      </c>
      <c r="D67" s="92">
        <v>442365887.73000002</v>
      </c>
      <c r="E67" s="92">
        <v>7444824.2800000003</v>
      </c>
      <c r="F67" s="92">
        <v>34318658.659999996</v>
      </c>
    </row>
    <row r="68" spans="1:6" ht="15.75" thickBot="1" x14ac:dyDescent="0.3">
      <c r="A68" s="90">
        <v>2013</v>
      </c>
      <c r="B68" s="91" t="s">
        <v>137</v>
      </c>
      <c r="C68" s="92">
        <v>5111331229.8400002</v>
      </c>
      <c r="D68" s="92">
        <v>442365887.73000002</v>
      </c>
      <c r="E68" s="92">
        <v>7444824.2800000003</v>
      </c>
      <c r="F68" s="92">
        <v>1287715.49</v>
      </c>
    </row>
    <row r="69" spans="1:6" ht="15.75" thickBot="1" x14ac:dyDescent="0.3">
      <c r="A69" s="90">
        <v>2013</v>
      </c>
      <c r="B69" s="91" t="s">
        <v>138</v>
      </c>
      <c r="C69" s="92">
        <v>5111331229.8400002</v>
      </c>
      <c r="D69" s="92">
        <v>442365887.73000002</v>
      </c>
      <c r="E69" s="92">
        <v>7444824.2800000003</v>
      </c>
      <c r="F69" s="92">
        <v>150.01</v>
      </c>
    </row>
    <row r="70" spans="1:6" ht="15.75" thickBot="1" x14ac:dyDescent="0.3">
      <c r="A70" s="90">
        <v>2013</v>
      </c>
      <c r="B70" s="91" t="s">
        <v>140</v>
      </c>
      <c r="C70" s="92">
        <v>5111331229.8400002</v>
      </c>
      <c r="D70" s="92">
        <v>442365887.73000002</v>
      </c>
      <c r="E70" s="92">
        <v>7444824.2800000003</v>
      </c>
      <c r="F70" s="92">
        <v>80.25</v>
      </c>
    </row>
    <row r="71" spans="1:6" ht="15.75" thickBot="1" x14ac:dyDescent="0.3">
      <c r="A71" s="90">
        <v>2013</v>
      </c>
      <c r="B71" s="91" t="s">
        <v>141</v>
      </c>
      <c r="C71" s="92">
        <v>5111331229.8400002</v>
      </c>
      <c r="D71" s="92">
        <v>442365887.73000002</v>
      </c>
      <c r="E71" s="92">
        <v>7444824.2800000003</v>
      </c>
      <c r="F71" s="92">
        <v>229925.7</v>
      </c>
    </row>
    <row r="72" spans="1:6" ht="15.75" thickBot="1" x14ac:dyDescent="0.3">
      <c r="A72" s="90">
        <v>2014</v>
      </c>
      <c r="B72" s="91" t="s">
        <v>134</v>
      </c>
      <c r="C72" s="92">
        <v>5177345265.75</v>
      </c>
      <c r="D72" s="92">
        <v>431223118.99000001</v>
      </c>
      <c r="E72" s="92">
        <v>11102225.42</v>
      </c>
      <c r="F72" s="92">
        <v>25407254.210000001</v>
      </c>
    </row>
    <row r="73" spans="1:6" ht="15.75" thickBot="1" x14ac:dyDescent="0.3">
      <c r="A73" s="90">
        <v>2014</v>
      </c>
      <c r="B73" s="91" t="s">
        <v>102</v>
      </c>
      <c r="C73" s="92">
        <v>5177345265.75</v>
      </c>
      <c r="D73" s="92">
        <v>431223118.99000001</v>
      </c>
      <c r="E73" s="92">
        <v>11102225.42</v>
      </c>
      <c r="F73" s="92">
        <v>42937953.509999998</v>
      </c>
    </row>
    <row r="74" spans="1:6" ht="15.75" thickBot="1" x14ac:dyDescent="0.3">
      <c r="A74" s="90">
        <v>2014</v>
      </c>
      <c r="B74" s="91" t="s">
        <v>137</v>
      </c>
      <c r="C74" s="92">
        <v>5177345265.75</v>
      </c>
      <c r="D74" s="92">
        <v>431223118.99000001</v>
      </c>
      <c r="E74" s="92">
        <v>11102225.42</v>
      </c>
      <c r="F74" s="92">
        <v>2695808.22</v>
      </c>
    </row>
    <row r="75" spans="1:6" ht="15.75" thickBot="1" x14ac:dyDescent="0.3">
      <c r="A75" s="90">
        <v>2014</v>
      </c>
      <c r="B75" s="91" t="s">
        <v>138</v>
      </c>
      <c r="C75" s="92">
        <v>5177345265.75</v>
      </c>
      <c r="D75" s="92">
        <v>431223118.99000001</v>
      </c>
      <c r="E75" s="92">
        <v>11102225.42</v>
      </c>
      <c r="F75" s="92">
        <v>50</v>
      </c>
    </row>
    <row r="76" spans="1:6" ht="15.75" thickBot="1" x14ac:dyDescent="0.3">
      <c r="A76" s="90">
        <v>2014</v>
      </c>
      <c r="B76" s="91" t="s">
        <v>140</v>
      </c>
      <c r="C76" s="92">
        <v>5177345265.75</v>
      </c>
      <c r="D76" s="92">
        <v>431223118.99000001</v>
      </c>
      <c r="E76" s="92">
        <v>11102225.42</v>
      </c>
      <c r="F76" s="92">
        <v>25.06</v>
      </c>
    </row>
    <row r="77" spans="1:6" ht="15.75" thickBot="1" x14ac:dyDescent="0.3">
      <c r="A77" s="90">
        <v>2014</v>
      </c>
      <c r="B77" s="91" t="s">
        <v>141</v>
      </c>
      <c r="C77" s="92">
        <v>5177345265.75</v>
      </c>
      <c r="D77" s="92">
        <v>431223118.99000001</v>
      </c>
      <c r="E77" s="92">
        <v>11102225.42</v>
      </c>
      <c r="F77" s="92">
        <v>76005.320000000007</v>
      </c>
    </row>
    <row r="78" spans="1:6" ht="15.75" thickBot="1" x14ac:dyDescent="0.3">
      <c r="A78" s="90">
        <v>2015</v>
      </c>
      <c r="B78" s="91" t="s">
        <v>134</v>
      </c>
      <c r="C78" s="92">
        <v>5402537959.9499998</v>
      </c>
      <c r="D78" s="92">
        <v>446278627.00999999</v>
      </c>
      <c r="E78" s="92">
        <v>12603982.529999999</v>
      </c>
      <c r="F78" s="92">
        <v>26737160.600000001</v>
      </c>
    </row>
    <row r="79" spans="1:6" ht="15.75" thickBot="1" x14ac:dyDescent="0.3">
      <c r="A79" s="90">
        <v>2015</v>
      </c>
      <c r="B79" s="91" t="s">
        <v>102</v>
      </c>
      <c r="C79" s="92">
        <v>5402537959.9499998</v>
      </c>
      <c r="D79" s="92">
        <v>446278627.00999999</v>
      </c>
      <c r="E79" s="92">
        <v>12603982.529999999</v>
      </c>
      <c r="F79" s="92">
        <v>46678085.299999997</v>
      </c>
    </row>
    <row r="80" spans="1:6" ht="15.75" thickBot="1" x14ac:dyDescent="0.3">
      <c r="A80" s="90">
        <v>2015</v>
      </c>
      <c r="B80" s="91" t="s">
        <v>137</v>
      </c>
      <c r="C80" s="92">
        <v>5402537959.9499998</v>
      </c>
      <c r="D80" s="92">
        <v>446278627.00999999</v>
      </c>
      <c r="E80" s="92">
        <v>12603982.529999999</v>
      </c>
      <c r="F80" s="92">
        <v>2786141.99</v>
      </c>
    </row>
    <row r="81" spans="1:6" ht="15.75" thickBot="1" x14ac:dyDescent="0.3">
      <c r="A81" s="90">
        <v>2015</v>
      </c>
      <c r="B81" s="91" t="s">
        <v>138</v>
      </c>
      <c r="C81" s="92">
        <v>5402537959.9499998</v>
      </c>
      <c r="D81" s="92">
        <v>446278627.00999999</v>
      </c>
      <c r="E81" s="92">
        <v>12603982.529999999</v>
      </c>
      <c r="F81" s="92">
        <v>50</v>
      </c>
    </row>
    <row r="82" spans="1:6" ht="15.75" thickBot="1" x14ac:dyDescent="0.3">
      <c r="A82" s="90">
        <v>2015</v>
      </c>
      <c r="B82" s="91" t="s">
        <v>140</v>
      </c>
      <c r="C82" s="92">
        <v>5402537959.9499998</v>
      </c>
      <c r="D82" s="92">
        <v>446278627.00999999</v>
      </c>
      <c r="E82" s="92">
        <v>12603982.529999999</v>
      </c>
      <c r="F82" s="92">
        <v>2.5499999999999998</v>
      </c>
    </row>
    <row r="83" spans="1:6" ht="15.75" thickBot="1" x14ac:dyDescent="0.3">
      <c r="A83" s="90">
        <v>2015</v>
      </c>
      <c r="B83" s="91" t="s">
        <v>141</v>
      </c>
      <c r="C83" s="92">
        <v>5402537959.9499998</v>
      </c>
      <c r="D83" s="92">
        <v>446278627.00999999</v>
      </c>
      <c r="E83" s="92">
        <v>12603982.529999999</v>
      </c>
      <c r="F83" s="92">
        <v>376000.34</v>
      </c>
    </row>
    <row r="84" spans="1:6" ht="15.75" thickBot="1" x14ac:dyDescent="0.3">
      <c r="A84" s="90">
        <v>2016</v>
      </c>
      <c r="B84" s="91" t="s">
        <v>134</v>
      </c>
      <c r="C84" s="92">
        <v>5514933568.9899998</v>
      </c>
      <c r="D84" s="92">
        <v>459432566.57999998</v>
      </c>
      <c r="E84" s="92">
        <v>12624702.859999999</v>
      </c>
      <c r="F84" s="92">
        <v>25956720.859999999</v>
      </c>
    </row>
    <row r="85" spans="1:6" ht="15.75" thickBot="1" x14ac:dyDescent="0.3">
      <c r="A85" s="90">
        <v>2016</v>
      </c>
      <c r="B85" s="91" t="s">
        <v>102</v>
      </c>
      <c r="C85" s="92">
        <v>5514933568.9899998</v>
      </c>
      <c r="D85" s="92">
        <v>459432566.57999998</v>
      </c>
      <c r="E85" s="92">
        <v>12624702.859999999</v>
      </c>
      <c r="F85" s="92">
        <v>45996120.5</v>
      </c>
    </row>
    <row r="86" spans="1:6" ht="15.75" thickBot="1" x14ac:dyDescent="0.3">
      <c r="A86" s="90">
        <v>2016</v>
      </c>
      <c r="B86" s="91" t="s">
        <v>137</v>
      </c>
      <c r="C86" s="92">
        <v>5514933568.9899998</v>
      </c>
      <c r="D86" s="92">
        <v>459432566.57999998</v>
      </c>
      <c r="E86" s="92">
        <v>12624702.859999999</v>
      </c>
      <c r="F86" s="92">
        <v>2985709.78</v>
      </c>
    </row>
    <row r="87" spans="1:6" ht="15.75" thickBot="1" x14ac:dyDescent="0.3">
      <c r="A87" s="90">
        <v>2016</v>
      </c>
      <c r="B87" s="91" t="s">
        <v>138</v>
      </c>
      <c r="C87" s="92">
        <v>5514933568.9899998</v>
      </c>
      <c r="D87" s="92">
        <v>459432566.57999998</v>
      </c>
      <c r="E87" s="92">
        <v>12624702.859999999</v>
      </c>
      <c r="F87" s="92">
        <v>36</v>
      </c>
    </row>
    <row r="88" spans="1:6" ht="15.75" thickBot="1" x14ac:dyDescent="0.3">
      <c r="A88" s="90">
        <v>2016</v>
      </c>
      <c r="B88" s="91" t="s">
        <v>140</v>
      </c>
      <c r="C88" s="92">
        <v>5514933568.9899998</v>
      </c>
      <c r="D88" s="92">
        <v>459432566.57999998</v>
      </c>
      <c r="E88" s="92">
        <v>12624702.859999999</v>
      </c>
      <c r="F88" s="92">
        <v>0.04</v>
      </c>
    </row>
    <row r="89" spans="1:6" ht="15.75" thickBot="1" x14ac:dyDescent="0.3">
      <c r="A89" s="90">
        <v>2016</v>
      </c>
      <c r="B89" s="91" t="s">
        <v>141</v>
      </c>
      <c r="C89" s="92">
        <v>5514933568.9899998</v>
      </c>
      <c r="D89" s="92">
        <v>459432566.57999998</v>
      </c>
      <c r="E89" s="92">
        <v>12624702.859999999</v>
      </c>
      <c r="F89" s="92">
        <v>1464424.15</v>
      </c>
    </row>
    <row r="90" spans="1:6" ht="15.75" thickBot="1" x14ac:dyDescent="0.3">
      <c r="A90" s="90">
        <v>2017</v>
      </c>
      <c r="B90" s="91" t="s">
        <v>134</v>
      </c>
      <c r="C90" s="92">
        <v>5468326234.6000004</v>
      </c>
      <c r="D90" s="92">
        <v>444962154.55000001</v>
      </c>
      <c r="E90" s="92">
        <v>11221333.98</v>
      </c>
      <c r="F90" s="92">
        <v>23675829.190000001</v>
      </c>
    </row>
    <row r="91" spans="1:6" ht="15.75" thickBot="1" x14ac:dyDescent="0.3">
      <c r="A91" s="90">
        <v>2017</v>
      </c>
      <c r="B91" s="91" t="s">
        <v>102</v>
      </c>
      <c r="C91" s="92">
        <v>5468326234.6000004</v>
      </c>
      <c r="D91" s="92">
        <v>444962154.55000001</v>
      </c>
      <c r="E91" s="92">
        <v>11221333.98</v>
      </c>
      <c r="F91" s="92">
        <v>52265720.539999999</v>
      </c>
    </row>
    <row r="92" spans="1:6" ht="15.75" thickBot="1" x14ac:dyDescent="0.3">
      <c r="A92" s="90">
        <v>2017</v>
      </c>
      <c r="B92" s="91" t="s">
        <v>137</v>
      </c>
      <c r="C92" s="92">
        <v>5468326234.6000004</v>
      </c>
      <c r="D92" s="92">
        <v>444962154.55000001</v>
      </c>
      <c r="E92" s="92">
        <v>11221333.98</v>
      </c>
      <c r="F92" s="92">
        <v>2552947.17</v>
      </c>
    </row>
    <row r="93" spans="1:6" ht="15.75" thickBot="1" x14ac:dyDescent="0.3">
      <c r="A93" s="90">
        <v>2017</v>
      </c>
      <c r="B93" s="91" t="s">
        <v>140</v>
      </c>
      <c r="C93" s="92">
        <v>5468326234.6000004</v>
      </c>
      <c r="D93" s="92">
        <v>444962154.55000001</v>
      </c>
      <c r="E93" s="92">
        <v>11221333.98</v>
      </c>
      <c r="F93" s="92">
        <v>7.0000000000000007E-2</v>
      </c>
    </row>
    <row r="94" spans="1:6" ht="15.75" thickBot="1" x14ac:dyDescent="0.3">
      <c r="A94" s="90">
        <v>2017</v>
      </c>
      <c r="B94" s="91" t="s">
        <v>141</v>
      </c>
      <c r="C94" s="92">
        <v>5468326234.6000004</v>
      </c>
      <c r="D94" s="92">
        <v>444962154.55000001</v>
      </c>
      <c r="E94" s="92">
        <v>11221333.98</v>
      </c>
      <c r="F94" s="92">
        <v>1504659.17</v>
      </c>
    </row>
    <row r="95" spans="1:6" ht="15.75" thickBot="1" x14ac:dyDescent="0.3">
      <c r="A95" s="90">
        <v>2017</v>
      </c>
      <c r="B95" s="91" t="s">
        <v>48</v>
      </c>
      <c r="C95" s="92">
        <v>5468326234.6000004</v>
      </c>
      <c r="D95" s="92">
        <v>444962154.55000001</v>
      </c>
      <c r="E95" s="92">
        <v>11221333.98</v>
      </c>
      <c r="F95" s="92">
        <v>272273.09000000003</v>
      </c>
    </row>
    <row r="96" spans="1:6" ht="15.75" thickBot="1" x14ac:dyDescent="0.3">
      <c r="A96" s="90">
        <v>2018</v>
      </c>
      <c r="B96" s="91" t="s">
        <v>134</v>
      </c>
      <c r="C96" s="92">
        <v>5551893797.1499996</v>
      </c>
      <c r="D96" s="92">
        <v>445511202.79000002</v>
      </c>
      <c r="E96" s="92">
        <v>11761352.43</v>
      </c>
      <c r="F96" s="92">
        <v>23406932.77</v>
      </c>
    </row>
    <row r="97" spans="1:6" ht="15.75" thickBot="1" x14ac:dyDescent="0.3">
      <c r="A97" s="90">
        <v>2018</v>
      </c>
      <c r="B97" s="91" t="s">
        <v>102</v>
      </c>
      <c r="C97" s="92">
        <v>5551893797.1499996</v>
      </c>
      <c r="D97" s="92">
        <v>445511202.79000002</v>
      </c>
      <c r="E97" s="92">
        <v>11761352.43</v>
      </c>
      <c r="F97" s="92">
        <v>51929922.799999997</v>
      </c>
    </row>
    <row r="98" spans="1:6" ht="15.75" thickBot="1" x14ac:dyDescent="0.3">
      <c r="A98" s="90">
        <v>2018</v>
      </c>
      <c r="B98" s="91" t="s">
        <v>137</v>
      </c>
      <c r="C98" s="92">
        <v>5551893797.1499996</v>
      </c>
      <c r="D98" s="92">
        <v>445511202.79000002</v>
      </c>
      <c r="E98" s="92">
        <v>11761352.43</v>
      </c>
      <c r="F98" s="92">
        <v>1427485</v>
      </c>
    </row>
    <row r="99" spans="1:6" ht="15.75" thickBot="1" x14ac:dyDescent="0.3">
      <c r="A99" s="90">
        <v>2018</v>
      </c>
      <c r="B99" s="91" t="s">
        <v>138</v>
      </c>
      <c r="C99" s="92">
        <v>5551893797.1499996</v>
      </c>
      <c r="D99" s="92">
        <v>445511202.79000002</v>
      </c>
      <c r="E99" s="92">
        <v>11761352.43</v>
      </c>
      <c r="F99" s="92">
        <v>50</v>
      </c>
    </row>
    <row r="100" spans="1:6" ht="15.75" thickBot="1" x14ac:dyDescent="0.3">
      <c r="A100" s="90">
        <v>2018</v>
      </c>
      <c r="B100" s="91" t="s">
        <v>140</v>
      </c>
      <c r="C100" s="92">
        <v>5551893797.1499996</v>
      </c>
      <c r="D100" s="92">
        <v>445511202.79000002</v>
      </c>
      <c r="E100" s="92">
        <v>11761352.43</v>
      </c>
      <c r="F100" s="92">
        <v>0.04</v>
      </c>
    </row>
    <row r="101" spans="1:6" ht="15.75" thickBot="1" x14ac:dyDescent="0.3">
      <c r="A101" s="90">
        <v>2018</v>
      </c>
      <c r="B101" s="91" t="s">
        <v>141</v>
      </c>
      <c r="C101" s="92">
        <v>5551893797.1499996</v>
      </c>
      <c r="D101" s="92">
        <v>445511202.79000002</v>
      </c>
      <c r="E101" s="92">
        <v>11761352.43</v>
      </c>
      <c r="F101" s="92">
        <v>1176614.08</v>
      </c>
    </row>
    <row r="102" spans="1:6" ht="15.75" thickBot="1" x14ac:dyDescent="0.3">
      <c r="A102" s="90">
        <v>2018</v>
      </c>
      <c r="B102" s="91" t="s">
        <v>48</v>
      </c>
      <c r="C102" s="92">
        <v>5551893797.1499996</v>
      </c>
      <c r="D102" s="92">
        <v>445511202.79000002</v>
      </c>
      <c r="E102" s="92">
        <v>11761352.43</v>
      </c>
      <c r="F102" s="92">
        <v>2737767.79</v>
      </c>
    </row>
    <row r="103" spans="1:6" ht="15.75" thickBot="1" x14ac:dyDescent="0.3">
      <c r="A103" s="90">
        <v>2019</v>
      </c>
      <c r="B103" s="91" t="s">
        <v>134</v>
      </c>
      <c r="C103" s="92">
        <v>5851909080.8599997</v>
      </c>
      <c r="D103" s="92">
        <v>459123839.61000001</v>
      </c>
      <c r="E103" s="92">
        <v>12795304.5</v>
      </c>
      <c r="F103" s="92">
        <v>23399562.489999998</v>
      </c>
    </row>
    <row r="104" spans="1:6" ht="15.75" thickBot="1" x14ac:dyDescent="0.3">
      <c r="A104" s="90">
        <v>2019</v>
      </c>
      <c r="B104" s="91" t="s">
        <v>102</v>
      </c>
      <c r="C104" s="92">
        <v>5851909080.8599997</v>
      </c>
      <c r="D104" s="92">
        <v>459123839.61000001</v>
      </c>
      <c r="E104" s="92">
        <v>12795304.5</v>
      </c>
      <c r="F104" s="92">
        <v>47654274.560000002</v>
      </c>
    </row>
    <row r="105" spans="1:6" ht="15.75" thickBot="1" x14ac:dyDescent="0.3">
      <c r="A105" s="90">
        <v>2019</v>
      </c>
      <c r="B105" s="91" t="s">
        <v>137</v>
      </c>
      <c r="C105" s="92">
        <v>5851909080.8599997</v>
      </c>
      <c r="D105" s="92">
        <v>459123839.61000001</v>
      </c>
      <c r="E105" s="92">
        <v>12795304.5</v>
      </c>
      <c r="F105" s="92">
        <v>1125731.94</v>
      </c>
    </row>
    <row r="106" spans="1:6" ht="15.75" thickBot="1" x14ac:dyDescent="0.3">
      <c r="A106" s="90">
        <v>2019</v>
      </c>
      <c r="B106" s="91" t="s">
        <v>140</v>
      </c>
      <c r="C106" s="92">
        <v>5851909080.8599997</v>
      </c>
      <c r="D106" s="92">
        <v>459123839.61000001</v>
      </c>
      <c r="E106" s="92">
        <v>12795304.5</v>
      </c>
      <c r="F106" s="92">
        <v>58164.56</v>
      </c>
    </row>
    <row r="107" spans="1:6" ht="15.75" thickBot="1" x14ac:dyDescent="0.3">
      <c r="A107" s="90">
        <v>2019</v>
      </c>
      <c r="B107" s="91" t="s">
        <v>141</v>
      </c>
      <c r="C107" s="92">
        <v>5851909080.8599997</v>
      </c>
      <c r="D107" s="92">
        <v>459123839.61000001</v>
      </c>
      <c r="E107" s="92">
        <v>12795304.5</v>
      </c>
      <c r="F107" s="92">
        <v>418367.21</v>
      </c>
    </row>
    <row r="108" spans="1:6" ht="15.75" thickBot="1" x14ac:dyDescent="0.3">
      <c r="A108" s="90">
        <v>2019</v>
      </c>
      <c r="B108" s="91" t="s">
        <v>48</v>
      </c>
      <c r="C108" s="92">
        <v>5851909080.8599997</v>
      </c>
      <c r="D108" s="92">
        <v>459123839.61000001</v>
      </c>
      <c r="E108" s="92">
        <v>12795304.5</v>
      </c>
      <c r="F108" s="92">
        <v>2911867.49</v>
      </c>
    </row>
    <row r="109" spans="1:6" ht="15.75" thickBot="1" x14ac:dyDescent="0.3">
      <c r="A109" s="90">
        <v>2020</v>
      </c>
      <c r="B109" s="91" t="s">
        <v>134</v>
      </c>
      <c r="C109" s="92">
        <v>4460847923.75</v>
      </c>
      <c r="D109" s="92">
        <v>339599506.88</v>
      </c>
      <c r="E109" s="92">
        <v>8680347.8100000005</v>
      </c>
      <c r="F109" s="92">
        <v>15874211.859999999</v>
      </c>
    </row>
    <row r="110" spans="1:6" ht="15.75" thickBot="1" x14ac:dyDescent="0.3">
      <c r="A110" s="90">
        <v>2020</v>
      </c>
      <c r="B110" s="91" t="s">
        <v>102</v>
      </c>
      <c r="C110" s="92">
        <v>4460847923.75</v>
      </c>
      <c r="D110" s="92">
        <v>339599506.88</v>
      </c>
      <c r="E110" s="92">
        <v>8680347.8100000005</v>
      </c>
      <c r="F110" s="92">
        <v>37828092.520000003</v>
      </c>
    </row>
    <row r="111" spans="1:6" ht="15.75" thickBot="1" x14ac:dyDescent="0.3">
      <c r="A111" s="90">
        <v>2020</v>
      </c>
      <c r="B111" s="91" t="s">
        <v>137</v>
      </c>
      <c r="C111" s="92">
        <v>4460847923.75</v>
      </c>
      <c r="D111" s="92">
        <v>339599506.88</v>
      </c>
      <c r="E111" s="92">
        <v>8680347.8100000005</v>
      </c>
      <c r="F111" s="92">
        <v>805340.31</v>
      </c>
    </row>
    <row r="112" spans="1:6" ht="15.75" thickBot="1" x14ac:dyDescent="0.3">
      <c r="A112" s="90">
        <v>2020</v>
      </c>
      <c r="B112" s="91" t="s">
        <v>138</v>
      </c>
      <c r="C112" s="92">
        <v>4460847923.75</v>
      </c>
      <c r="D112" s="92">
        <v>339599506.88</v>
      </c>
      <c r="E112" s="92">
        <v>8680347.8100000005</v>
      </c>
      <c r="F112" s="92">
        <v>50</v>
      </c>
    </row>
    <row r="113" spans="1:6" ht="15.75" thickBot="1" x14ac:dyDescent="0.3">
      <c r="A113" s="90">
        <v>2020</v>
      </c>
      <c r="B113" s="91" t="s">
        <v>140</v>
      </c>
      <c r="C113" s="92">
        <v>4460847923.75</v>
      </c>
      <c r="D113" s="92">
        <v>339599506.88</v>
      </c>
      <c r="E113" s="92">
        <v>8680347.8100000005</v>
      </c>
      <c r="F113" s="92">
        <v>26.98</v>
      </c>
    </row>
    <row r="114" spans="1:6" ht="15.75" thickBot="1" x14ac:dyDescent="0.3">
      <c r="A114" s="90">
        <v>2020</v>
      </c>
      <c r="B114" s="91" t="s">
        <v>141</v>
      </c>
      <c r="C114" s="92">
        <v>4460847923.75</v>
      </c>
      <c r="D114" s="92">
        <v>339599506.88</v>
      </c>
      <c r="E114" s="92">
        <v>8680347.8100000005</v>
      </c>
      <c r="F114" s="92">
        <v>886446.19</v>
      </c>
    </row>
    <row r="115" spans="1:6" ht="15.75" thickBot="1" x14ac:dyDescent="0.3">
      <c r="A115" s="90">
        <v>2020</v>
      </c>
      <c r="B115" s="91" t="s">
        <v>48</v>
      </c>
      <c r="C115" s="92">
        <v>4460847923.75</v>
      </c>
      <c r="D115" s="92">
        <v>339599506.88</v>
      </c>
      <c r="E115" s="92">
        <v>8680347.8100000005</v>
      </c>
      <c r="F115" s="92">
        <v>2010621.48</v>
      </c>
    </row>
    <row r="116" spans="1:6" ht="15.75" thickBot="1" x14ac:dyDescent="0.3">
      <c r="A116" s="90">
        <v>2021</v>
      </c>
      <c r="B116" s="91" t="s">
        <v>134</v>
      </c>
      <c r="C116" s="92">
        <v>846517891.42999995</v>
      </c>
      <c r="D116" s="92">
        <v>67863722.629999995</v>
      </c>
      <c r="E116" s="92">
        <v>1226417.51</v>
      </c>
      <c r="F116" s="92">
        <v>156111</v>
      </c>
    </row>
    <row r="117" spans="1:6" ht="15.75" thickBot="1" x14ac:dyDescent="0.3">
      <c r="A117" s="90">
        <v>2021</v>
      </c>
      <c r="B117" s="91" t="s">
        <v>102</v>
      </c>
      <c r="C117" s="92">
        <v>846517891.42999995</v>
      </c>
      <c r="D117" s="92">
        <v>67863722.629999995</v>
      </c>
      <c r="E117" s="92">
        <v>1226417.51</v>
      </c>
      <c r="F117" s="92">
        <v>4841240.5199999996</v>
      </c>
    </row>
    <row r="118" spans="1:6" ht="15.75" thickBot="1" x14ac:dyDescent="0.3">
      <c r="A118" s="90">
        <v>2021</v>
      </c>
      <c r="B118" s="91" t="s">
        <v>141</v>
      </c>
      <c r="C118" s="92">
        <v>846517891.42999995</v>
      </c>
      <c r="D118" s="92">
        <v>67863722.629999995</v>
      </c>
      <c r="E118" s="92">
        <v>1226417.51</v>
      </c>
      <c r="F118" s="92">
        <v>783.24</v>
      </c>
    </row>
    <row r="119" spans="1:6" ht="15.75" thickBot="1" x14ac:dyDescent="0.3">
      <c r="A119" s="90">
        <v>2021</v>
      </c>
      <c r="B119" s="91" t="s">
        <v>48</v>
      </c>
      <c r="C119" s="92">
        <v>846517891.42999995</v>
      </c>
      <c r="D119" s="92">
        <v>67863722.629999995</v>
      </c>
      <c r="E119" s="92">
        <v>1226417.51</v>
      </c>
      <c r="F119" s="92">
        <v>1279.24</v>
      </c>
    </row>
    <row r="120" spans="1:6" ht="15.75" thickBot="1" x14ac:dyDescent="0.3">
      <c r="A120" s="340" t="s">
        <v>142</v>
      </c>
      <c r="B120" s="341"/>
      <c r="C120" s="93">
        <v>79956001430.449997</v>
      </c>
      <c r="D120" s="93">
        <v>6644779382.1700001</v>
      </c>
      <c r="E120" s="93">
        <v>89460491.319999993</v>
      </c>
      <c r="F120" s="93">
        <v>1107179510.8199999</v>
      </c>
    </row>
    <row r="121" spans="1:6" ht="15" x14ac:dyDescent="0.25">
      <c r="A121" s="342">
        <v>44253</v>
      </c>
      <c r="B121" s="338"/>
      <c r="C121" s="343" t="s">
        <v>143</v>
      </c>
      <c r="D121" s="338"/>
      <c r="E121" s="344">
        <v>0.49973379000000001</v>
      </c>
      <c r="F121" s="338"/>
    </row>
  </sheetData>
  <mergeCells count="6">
    <mergeCell ref="A1:F1"/>
    <mergeCell ref="A2:F2"/>
    <mergeCell ref="A120:B120"/>
    <mergeCell ref="A121:B121"/>
    <mergeCell ref="C121:D121"/>
    <mergeCell ref="E121:F121"/>
  </mergeCells>
  <pageMargins left="0.7" right="0.7" top="0.75" bottom="0.75" header="0.3" footer="0.3"/>
  <pageSetup paperSize="9" orientation="portrait" horizontalDpi="1200" verticalDpi="12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22"/>
  <sheetViews>
    <sheetView workbookViewId="0">
      <selection activeCell="G32" sqref="G32"/>
    </sheetView>
  </sheetViews>
  <sheetFormatPr defaultColWidth="9.140625" defaultRowHeight="12.75" customHeight="1" x14ac:dyDescent="0.2"/>
  <cols>
    <col min="1" max="1" width="20.140625" style="112" bestFit="1" customWidth="1"/>
    <col min="2" max="2" width="21.28515625" style="112" bestFit="1" customWidth="1"/>
    <col min="3" max="3" width="20.140625" style="112" bestFit="1" customWidth="1"/>
    <col min="4" max="4" width="17.5703125" style="112" bestFit="1" customWidth="1"/>
    <col min="5" max="5" width="9.140625" style="112"/>
    <col min="6" max="6" width="15.140625" style="112" bestFit="1" customWidth="1"/>
    <col min="7" max="7" width="12.7109375" style="112" bestFit="1" customWidth="1"/>
    <col min="8" max="8" width="11.85546875" style="112" bestFit="1" customWidth="1"/>
    <col min="9" max="16384" width="9.140625" style="112"/>
  </cols>
  <sheetData>
    <row r="1" spans="1:8" ht="21.75" customHeight="1" x14ac:dyDescent="0.2">
      <c r="A1" s="345" t="s">
        <v>129</v>
      </c>
      <c r="B1" s="346"/>
      <c r="C1" s="346"/>
      <c r="D1" s="346"/>
    </row>
    <row r="2" spans="1:8" ht="13.5" thickBot="1" x14ac:dyDescent="0.25">
      <c r="A2" s="347" t="s">
        <v>130</v>
      </c>
      <c r="B2" s="346"/>
      <c r="C2" s="346"/>
      <c r="D2" s="346"/>
    </row>
    <row r="3" spans="1:8" ht="13.5" thickBot="1" x14ac:dyDescent="0.25">
      <c r="A3" s="119" t="s">
        <v>75</v>
      </c>
      <c r="B3" s="119" t="s">
        <v>76</v>
      </c>
      <c r="C3" s="119" t="s">
        <v>77</v>
      </c>
      <c r="D3" s="119" t="s">
        <v>132</v>
      </c>
    </row>
    <row r="4" spans="1:8" ht="13.5" thickBot="1" x14ac:dyDescent="0.25">
      <c r="A4" s="118">
        <v>2005</v>
      </c>
      <c r="B4" s="117">
        <v>3967418646.04</v>
      </c>
      <c r="C4" s="117">
        <v>323348200.51999998</v>
      </c>
      <c r="D4" s="117">
        <v>0</v>
      </c>
    </row>
    <row r="5" spans="1:8" ht="13.5" thickBot="1" x14ac:dyDescent="0.25">
      <c r="A5" s="118">
        <v>2006</v>
      </c>
      <c r="B5" s="117">
        <v>4366686874.21</v>
      </c>
      <c r="C5" s="117">
        <v>364084420.60000002</v>
      </c>
      <c r="D5" s="117">
        <v>0</v>
      </c>
    </row>
    <row r="6" spans="1:8" ht="13.5" thickBot="1" x14ac:dyDescent="0.25">
      <c r="A6" s="118">
        <v>2007</v>
      </c>
      <c r="B6" s="117">
        <v>4352968473.7200003</v>
      </c>
      <c r="C6" s="117">
        <v>367531498.35000002</v>
      </c>
      <c r="D6" s="117">
        <v>0</v>
      </c>
    </row>
    <row r="7" spans="1:8" ht="13.5" thickBot="1" x14ac:dyDescent="0.25">
      <c r="A7" s="118">
        <v>2008</v>
      </c>
      <c r="B7" s="117">
        <v>4445573703.5799999</v>
      </c>
      <c r="C7" s="117">
        <v>375232895.51999998</v>
      </c>
      <c r="D7" s="117">
        <v>0</v>
      </c>
    </row>
    <row r="8" spans="1:8" ht="13.5" thickBot="1" x14ac:dyDescent="0.25">
      <c r="A8" s="118">
        <v>2009</v>
      </c>
      <c r="B8" s="117">
        <v>4613581411.3599997</v>
      </c>
      <c r="C8" s="117">
        <v>387899089.68000001</v>
      </c>
      <c r="D8" s="117">
        <v>0</v>
      </c>
    </row>
    <row r="9" spans="1:8" ht="13.5" thickBot="1" x14ac:dyDescent="0.25">
      <c r="A9" s="118">
        <v>2010</v>
      </c>
      <c r="B9" s="117">
        <v>4723013429.3599997</v>
      </c>
      <c r="C9" s="117">
        <v>407073950.49000001</v>
      </c>
      <c r="D9" s="117">
        <v>0</v>
      </c>
    </row>
    <row r="10" spans="1:8" ht="13.5" thickBot="1" x14ac:dyDescent="0.25">
      <c r="A10" s="118">
        <v>2011</v>
      </c>
      <c r="B10" s="117">
        <v>4988007891.8699999</v>
      </c>
      <c r="C10" s="117">
        <v>434415889.69</v>
      </c>
      <c r="D10" s="117">
        <v>0</v>
      </c>
    </row>
    <row r="11" spans="1:8" ht="13.5" thickBot="1" x14ac:dyDescent="0.25">
      <c r="A11" s="118">
        <v>2012</v>
      </c>
      <c r="B11" s="117">
        <v>5113108047.9899998</v>
      </c>
      <c r="C11" s="117">
        <v>448832810.55000001</v>
      </c>
      <c r="D11" s="117">
        <v>0</v>
      </c>
      <c r="F11" s="120">
        <f>VLOOKUP($A11,'COGNOS Data'!$A$4:$F$119,3,0)-B11</f>
        <v>0</v>
      </c>
      <c r="G11" s="120">
        <f>VLOOKUP($A11,'COGNOS Data'!$A$4:$F$119,4,0)-C11</f>
        <v>0</v>
      </c>
      <c r="H11" s="120">
        <f>VLOOKUP($A11,'COGNOS Data'!$A$4:$F$119,5,0)-D11</f>
        <v>0</v>
      </c>
    </row>
    <row r="12" spans="1:8" ht="13.5" thickBot="1" x14ac:dyDescent="0.25">
      <c r="A12" s="118">
        <v>2013</v>
      </c>
      <c r="B12" s="117">
        <v>5111331229.8400002</v>
      </c>
      <c r="C12" s="117">
        <v>442365887.73000002</v>
      </c>
      <c r="D12" s="117">
        <v>7444824.2800000003</v>
      </c>
      <c r="F12" s="120">
        <f>VLOOKUP($A12,'COGNOS Data'!$A$4:$F$119,3,0)-B12</f>
        <v>0</v>
      </c>
      <c r="G12" s="120">
        <f>VLOOKUP($A12,'COGNOS Data'!$A$4:$F$119,4,0)-C12</f>
        <v>0</v>
      </c>
      <c r="H12" s="120">
        <f>VLOOKUP($A12,'COGNOS Data'!$A$4:$F$119,5,0)-D12</f>
        <v>0</v>
      </c>
    </row>
    <row r="13" spans="1:8" ht="13.5" thickBot="1" x14ac:dyDescent="0.25">
      <c r="A13" s="118">
        <v>2014</v>
      </c>
      <c r="B13" s="117">
        <v>5177345265.75</v>
      </c>
      <c r="C13" s="117">
        <v>431223118.99000001</v>
      </c>
      <c r="D13" s="117">
        <v>11102225.42</v>
      </c>
      <c r="F13" s="120">
        <f>VLOOKUP($A13,'COGNOS Data'!$A$4:$F$119,3,0)-B13</f>
        <v>0</v>
      </c>
      <c r="G13" s="120">
        <f>VLOOKUP($A13,'COGNOS Data'!$A$4:$F$119,4,0)-C13</f>
        <v>0</v>
      </c>
      <c r="H13" s="120">
        <f>VLOOKUP($A13,'COGNOS Data'!$A$4:$F$119,5,0)-D13</f>
        <v>0</v>
      </c>
    </row>
    <row r="14" spans="1:8" ht="13.5" thickBot="1" x14ac:dyDescent="0.25">
      <c r="A14" s="118">
        <v>2015</v>
      </c>
      <c r="B14" s="117">
        <v>5402537959.9499998</v>
      </c>
      <c r="C14" s="117">
        <v>446278627.00999999</v>
      </c>
      <c r="D14" s="117">
        <v>12603982.529999999</v>
      </c>
      <c r="F14" s="120">
        <f>VLOOKUP($A14,'COGNOS Data'!$A$4:$F$119,3,0)-B14</f>
        <v>0</v>
      </c>
      <c r="G14" s="120">
        <f>VLOOKUP($A14,'COGNOS Data'!$A$4:$F$119,4,0)-C14</f>
        <v>0</v>
      </c>
      <c r="H14" s="120">
        <f>VLOOKUP($A14,'COGNOS Data'!$A$4:$F$119,5,0)-D14</f>
        <v>0</v>
      </c>
    </row>
    <row r="15" spans="1:8" ht="13.5" thickBot="1" x14ac:dyDescent="0.25">
      <c r="A15" s="118">
        <v>2016</v>
      </c>
      <c r="B15" s="117">
        <v>5514933568.9899998</v>
      </c>
      <c r="C15" s="117">
        <v>459432566.57999998</v>
      </c>
      <c r="D15" s="117">
        <v>12624702.859999999</v>
      </c>
      <c r="F15" s="120">
        <f>VLOOKUP($A15,'COGNOS Data'!$A$4:$F$119,3,0)-B15</f>
        <v>0</v>
      </c>
      <c r="G15" s="120">
        <f>VLOOKUP($A15,'COGNOS Data'!$A$4:$F$119,4,0)-C15</f>
        <v>0</v>
      </c>
      <c r="H15" s="120">
        <f>VLOOKUP($A15,'COGNOS Data'!$A$4:$F$119,5,0)-D15</f>
        <v>0</v>
      </c>
    </row>
    <row r="16" spans="1:8" ht="13.5" thickBot="1" x14ac:dyDescent="0.25">
      <c r="A16" s="118">
        <v>2017</v>
      </c>
      <c r="B16" s="117">
        <v>5468326234.6000004</v>
      </c>
      <c r="C16" s="117">
        <v>444962154.55000001</v>
      </c>
      <c r="D16" s="117">
        <v>11221333.98</v>
      </c>
      <c r="F16" s="120">
        <f>VLOOKUP($A16,'COGNOS Data'!$A$4:$F$119,3,0)-B16</f>
        <v>0</v>
      </c>
      <c r="G16" s="120">
        <f>VLOOKUP($A16,'COGNOS Data'!$A$4:$F$119,4,0)-C16</f>
        <v>0</v>
      </c>
      <c r="H16" s="120">
        <f>VLOOKUP($A16,'COGNOS Data'!$A$4:$F$119,5,0)-D16</f>
        <v>0</v>
      </c>
    </row>
    <row r="17" spans="1:8" ht="13.5" thickBot="1" x14ac:dyDescent="0.25">
      <c r="A17" s="118">
        <v>2018</v>
      </c>
      <c r="B17" s="117">
        <v>5551893797.1499996</v>
      </c>
      <c r="C17" s="117">
        <v>445511202.79000002</v>
      </c>
      <c r="D17" s="117">
        <v>11761352.43</v>
      </c>
      <c r="F17" s="120">
        <f>VLOOKUP($A17,'COGNOS Data'!$A$4:$F$119,3,0)-B17</f>
        <v>0</v>
      </c>
      <c r="G17" s="120">
        <f>VLOOKUP($A17,'COGNOS Data'!$A$4:$F$119,4,0)-C17</f>
        <v>0</v>
      </c>
      <c r="H17" s="120">
        <f>VLOOKUP($A17,'COGNOS Data'!$A$4:$F$119,5,0)-D17</f>
        <v>0</v>
      </c>
    </row>
    <row r="18" spans="1:8" ht="13.5" thickBot="1" x14ac:dyDescent="0.25">
      <c r="A18" s="118">
        <v>2019</v>
      </c>
      <c r="B18" s="117">
        <v>5851909080.8599997</v>
      </c>
      <c r="C18" s="117">
        <v>459123839.61000001</v>
      </c>
      <c r="D18" s="117">
        <v>12795304.5</v>
      </c>
      <c r="F18" s="120">
        <f>VLOOKUP($A18,'COGNOS Data'!$A$4:$F$119,3,0)-B18</f>
        <v>0</v>
      </c>
      <c r="G18" s="120">
        <f>VLOOKUP($A18,'COGNOS Data'!$A$4:$F$119,4,0)-C18</f>
        <v>0</v>
      </c>
      <c r="H18" s="120">
        <f>VLOOKUP($A18,'COGNOS Data'!$A$4:$F$119,5,0)-D18</f>
        <v>0</v>
      </c>
    </row>
    <row r="19" spans="1:8" ht="13.5" thickBot="1" x14ac:dyDescent="0.25">
      <c r="A19" s="118">
        <v>2020</v>
      </c>
      <c r="B19" s="117">
        <v>4460847923.75</v>
      </c>
      <c r="C19" s="117">
        <v>339599506.88</v>
      </c>
      <c r="D19" s="117">
        <v>8680347.8100000005</v>
      </c>
      <c r="F19" s="120">
        <f>VLOOKUP($A19,'COGNOS Data'!$A$4:$F$119,3,0)-B19</f>
        <v>0</v>
      </c>
      <c r="G19" s="120">
        <f>VLOOKUP($A19,'COGNOS Data'!$A$4:$F$119,4,0)-C19</f>
        <v>0</v>
      </c>
      <c r="H19" s="120">
        <f>VLOOKUP($A19,'COGNOS Data'!$A$4:$F$119,5,0)-D19</f>
        <v>0</v>
      </c>
    </row>
    <row r="20" spans="1:8" ht="13.5" thickBot="1" x14ac:dyDescent="0.25">
      <c r="A20" s="118">
        <v>2021</v>
      </c>
      <c r="B20" s="117">
        <v>1962426836.3299999</v>
      </c>
      <c r="C20" s="117">
        <v>158226941.55000001</v>
      </c>
      <c r="D20" s="117">
        <v>2783385.02</v>
      </c>
      <c r="F20" s="117">
        <f>VLOOKUP($A20,'COGNOS Data'!$A$4:$F$119,3,0)-B20</f>
        <v>-1115908944.9000001</v>
      </c>
      <c r="G20" s="117">
        <f>VLOOKUP($A20,'COGNOS Data'!$A$4:$F$119,4,0)-C20</f>
        <v>-90363218.920000017</v>
      </c>
      <c r="H20" s="117">
        <f>VLOOKUP($A20,'COGNOS Data'!$A$4:$F$119,5,0)-D20</f>
        <v>-1556967.51</v>
      </c>
    </row>
    <row r="21" spans="1:8" ht="13.5" thickBot="1" x14ac:dyDescent="0.25">
      <c r="A21" s="116" t="s">
        <v>142</v>
      </c>
      <c r="B21" s="115">
        <v>81071910375.350006</v>
      </c>
      <c r="C21" s="115">
        <v>6735142601.0900002</v>
      </c>
      <c r="D21" s="115">
        <v>91017458.829999998</v>
      </c>
    </row>
    <row r="22" spans="1:8" x14ac:dyDescent="0.2">
      <c r="A22" s="348">
        <v>44354</v>
      </c>
      <c r="B22" s="346"/>
      <c r="C22" s="114" t="s">
        <v>143</v>
      </c>
      <c r="D22" s="113">
        <v>0.64281250000000001</v>
      </c>
    </row>
  </sheetData>
  <mergeCells count="3">
    <mergeCell ref="A1:D1"/>
    <mergeCell ref="A2:D2"/>
    <mergeCell ref="A22:B22"/>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E29"/>
  <sheetViews>
    <sheetView workbookViewId="0">
      <selection activeCell="D27" sqref="D27"/>
    </sheetView>
  </sheetViews>
  <sheetFormatPr defaultColWidth="9.140625" defaultRowHeight="15.75" x14ac:dyDescent="0.25"/>
  <cols>
    <col min="1" max="1" width="9.140625" style="246"/>
    <col min="2" max="3" width="36" style="246" customWidth="1"/>
    <col min="4" max="4" width="20.42578125" style="247" customWidth="1"/>
    <col min="5" max="8" width="21.5703125" style="246" customWidth="1"/>
    <col min="9" max="16384" width="9.140625" style="246"/>
  </cols>
  <sheetData>
    <row r="2" spans="1:5" x14ac:dyDescent="0.25">
      <c r="B2" s="246" t="s">
        <v>254</v>
      </c>
    </row>
    <row r="3" spans="1:5" x14ac:dyDescent="0.25">
      <c r="E3" s="246" t="s">
        <v>255</v>
      </c>
    </row>
    <row r="4" spans="1:5" ht="31.5" x14ac:dyDescent="0.25">
      <c r="C4" s="248" t="s">
        <v>256</v>
      </c>
      <c r="D4" s="249" t="s">
        <v>257</v>
      </c>
    </row>
    <row r="6" spans="1:5" x14ac:dyDescent="0.25">
      <c r="A6" s="246">
        <v>2021</v>
      </c>
      <c r="B6" s="246" t="s">
        <v>258</v>
      </c>
      <c r="C6" s="250">
        <v>158206824.42000002</v>
      </c>
      <c r="D6" s="251">
        <v>158226941.55000001</v>
      </c>
      <c r="E6" s="252">
        <f>C6-D6</f>
        <v>-20117.129999995232</v>
      </c>
    </row>
    <row r="7" spans="1:5" x14ac:dyDescent="0.25">
      <c r="C7" s="250"/>
      <c r="D7" s="251"/>
      <c r="E7" s="252"/>
    </row>
    <row r="8" spans="1:5" x14ac:dyDescent="0.25">
      <c r="A8" s="246">
        <v>2020</v>
      </c>
      <c r="B8" s="246" t="s">
        <v>259</v>
      </c>
      <c r="C8" s="250">
        <v>339589388.06900007</v>
      </c>
      <c r="D8" s="251">
        <v>339599506.88</v>
      </c>
      <c r="E8" s="252">
        <f t="shared" ref="E8:E24" si="0">C8-D8</f>
        <v>-10118.810999929905</v>
      </c>
    </row>
    <row r="9" spans="1:5" x14ac:dyDescent="0.25">
      <c r="C9" s="250"/>
      <c r="D9" s="251"/>
      <c r="E9" s="252"/>
    </row>
    <row r="10" spans="1:5" x14ac:dyDescent="0.25">
      <c r="A10" s="246">
        <v>2019</v>
      </c>
      <c r="B10" s="246" t="s">
        <v>260</v>
      </c>
      <c r="C10" s="250">
        <v>459129221.54000008</v>
      </c>
      <c r="D10" s="251">
        <v>459123839.61000001</v>
      </c>
      <c r="E10" s="252">
        <f t="shared" si="0"/>
        <v>5381.9300000667572</v>
      </c>
    </row>
    <row r="11" spans="1:5" x14ac:dyDescent="0.25">
      <c r="C11" s="250"/>
      <c r="D11" s="251"/>
      <c r="E11" s="252"/>
    </row>
    <row r="12" spans="1:5" x14ac:dyDescent="0.25">
      <c r="A12" s="246">
        <v>2018</v>
      </c>
      <c r="B12" s="246" t="s">
        <v>261</v>
      </c>
      <c r="C12" s="250">
        <v>445501101.96999997</v>
      </c>
      <c r="D12" s="251">
        <v>445511202.79000002</v>
      </c>
      <c r="E12" s="252">
        <f t="shared" si="0"/>
        <v>-10100.820000052452</v>
      </c>
    </row>
    <row r="13" spans="1:5" x14ac:dyDescent="0.25">
      <c r="C13" s="250"/>
      <c r="D13" s="251"/>
      <c r="E13" s="252"/>
    </row>
    <row r="14" spans="1:5" x14ac:dyDescent="0.25">
      <c r="A14" s="246">
        <f>A12-1</f>
        <v>2017</v>
      </c>
      <c r="B14" s="246" t="s">
        <v>262</v>
      </c>
      <c r="C14" s="250">
        <v>444971488.89999998</v>
      </c>
      <c r="D14" s="251">
        <v>444962154.55000001</v>
      </c>
      <c r="E14" s="252">
        <f t="shared" si="0"/>
        <v>9334.3499999642372</v>
      </c>
    </row>
    <row r="15" spans="1:5" x14ac:dyDescent="0.25">
      <c r="C15" s="250"/>
      <c r="D15" s="251"/>
      <c r="E15" s="252"/>
    </row>
    <row r="16" spans="1:5" x14ac:dyDescent="0.25">
      <c r="A16" s="246">
        <f>A14-1</f>
        <v>2016</v>
      </c>
      <c r="B16" s="246" t="s">
        <v>263</v>
      </c>
      <c r="C16" s="250">
        <v>459405709.23000002</v>
      </c>
      <c r="D16" s="251">
        <v>459432566.57999998</v>
      </c>
      <c r="E16" s="252">
        <f t="shared" si="0"/>
        <v>-26857.349999964237</v>
      </c>
    </row>
    <row r="17" spans="1:5" x14ac:dyDescent="0.25">
      <c r="C17" s="250"/>
      <c r="D17" s="251"/>
      <c r="E17" s="252"/>
    </row>
    <row r="18" spans="1:5" x14ac:dyDescent="0.25">
      <c r="A18" s="246">
        <f>A16-1</f>
        <v>2015</v>
      </c>
      <c r="B18" s="246" t="s">
        <v>264</v>
      </c>
      <c r="C18" s="250">
        <v>446232358.93000001</v>
      </c>
      <c r="D18" s="251">
        <v>446278627.00999999</v>
      </c>
      <c r="E18" s="252">
        <f t="shared" si="0"/>
        <v>-46268.079999983311</v>
      </c>
    </row>
    <row r="19" spans="1:5" x14ac:dyDescent="0.25">
      <c r="D19" s="251"/>
      <c r="E19" s="252"/>
    </row>
    <row r="20" spans="1:5" x14ac:dyDescent="0.25">
      <c r="A20" s="246">
        <f>A18-1</f>
        <v>2014</v>
      </c>
      <c r="B20" s="246" t="s">
        <v>265</v>
      </c>
      <c r="C20" s="250">
        <v>431416086.17000002</v>
      </c>
      <c r="D20" s="251">
        <v>431223118.99000001</v>
      </c>
      <c r="E20" s="252">
        <f t="shared" si="0"/>
        <v>192967.18000000715</v>
      </c>
    </row>
    <row r="21" spans="1:5" x14ac:dyDescent="0.25">
      <c r="C21" s="250"/>
      <c r="D21" s="251"/>
      <c r="E21" s="252"/>
    </row>
    <row r="22" spans="1:5" x14ac:dyDescent="0.25">
      <c r="A22" s="246">
        <f>A20-1</f>
        <v>2013</v>
      </c>
      <c r="B22" s="246" t="s">
        <v>266</v>
      </c>
      <c r="C22" s="250">
        <v>442092705.80000001</v>
      </c>
      <c r="D22" s="251">
        <v>442365887.73000002</v>
      </c>
      <c r="E22" s="252">
        <f t="shared" si="0"/>
        <v>-273181.93000000715</v>
      </c>
    </row>
    <row r="23" spans="1:5" x14ac:dyDescent="0.25">
      <c r="C23" s="250"/>
      <c r="D23" s="251"/>
      <c r="E23" s="252"/>
    </row>
    <row r="24" spans="1:5" x14ac:dyDescent="0.25">
      <c r="A24" s="246">
        <f>A22-1</f>
        <v>2012</v>
      </c>
      <c r="B24" s="246" t="s">
        <v>267</v>
      </c>
      <c r="C24" s="250">
        <v>448653907.09000003</v>
      </c>
      <c r="D24" s="251">
        <v>448832810.55000001</v>
      </c>
      <c r="E24" s="252">
        <f t="shared" si="0"/>
        <v>-178903.45999997854</v>
      </c>
    </row>
    <row r="25" spans="1:5" x14ac:dyDescent="0.25">
      <c r="C25" s="250"/>
      <c r="D25" s="251"/>
    </row>
    <row r="26" spans="1:5" x14ac:dyDescent="0.25">
      <c r="C26" s="250"/>
      <c r="D26" s="251"/>
      <c r="E26" s="253">
        <f>SUM(E6:E25)</f>
        <v>-357864.12099987268</v>
      </c>
    </row>
    <row r="27" spans="1:5" x14ac:dyDescent="0.25">
      <c r="C27" s="250"/>
      <c r="D27" s="251"/>
    </row>
    <row r="28" spans="1:5" x14ac:dyDescent="0.25">
      <c r="C28" s="250"/>
      <c r="D28" s="251"/>
    </row>
    <row r="29" spans="1:5" x14ac:dyDescent="0.25">
      <c r="C29" s="250"/>
      <c r="D29" s="251"/>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G107"/>
  <sheetViews>
    <sheetView topLeftCell="A14" workbookViewId="0">
      <selection activeCell="G32" sqref="G32"/>
    </sheetView>
  </sheetViews>
  <sheetFormatPr defaultRowHeight="15" x14ac:dyDescent="0.25"/>
  <cols>
    <col min="1" max="1" width="29.28515625" customWidth="1"/>
    <col min="2" max="2" width="25.5703125" bestFit="1" customWidth="1"/>
    <col min="3" max="3" width="8" hidden="1" customWidth="1"/>
    <col min="5" max="5" width="13.28515625" bestFit="1" customWidth="1"/>
    <col min="7" max="7" width="13.28515625" bestFit="1" customWidth="1"/>
  </cols>
  <sheetData>
    <row r="3" spans="1:3" x14ac:dyDescent="0.25">
      <c r="A3" t="s">
        <v>0</v>
      </c>
      <c r="B3" t="s">
        <v>1</v>
      </c>
      <c r="C3">
        <v>1</v>
      </c>
    </row>
    <row r="4" spans="1:3" x14ac:dyDescent="0.25">
      <c r="A4" t="s">
        <v>2</v>
      </c>
      <c r="B4" t="s">
        <v>3</v>
      </c>
      <c r="C4">
        <v>4</v>
      </c>
    </row>
    <row r="5" spans="1:3" x14ac:dyDescent="0.25">
      <c r="A5" t="s">
        <v>4</v>
      </c>
      <c r="B5" t="s">
        <v>5</v>
      </c>
      <c r="C5">
        <v>355982</v>
      </c>
    </row>
    <row r="8" spans="1:3" x14ac:dyDescent="0.25">
      <c r="A8" t="s">
        <v>6</v>
      </c>
      <c r="B8" t="s">
        <v>7</v>
      </c>
      <c r="C8" t="s">
        <v>8</v>
      </c>
    </row>
    <row r="9" spans="1:3" x14ac:dyDescent="0.25">
      <c r="A9" t="s">
        <v>9</v>
      </c>
      <c r="B9" t="s">
        <v>10</v>
      </c>
      <c r="C9" t="s">
        <v>11</v>
      </c>
    </row>
    <row r="11" spans="1:3" x14ac:dyDescent="0.25">
      <c r="A11" t="s">
        <v>12</v>
      </c>
      <c r="B11" t="s">
        <v>13</v>
      </c>
      <c r="C11" t="s">
        <v>14</v>
      </c>
    </row>
    <row r="12" spans="1:3" x14ac:dyDescent="0.25">
      <c r="A12" t="s">
        <v>15</v>
      </c>
    </row>
    <row r="13" spans="1:3" hidden="1" x14ac:dyDescent="0.25">
      <c r="A13" t="s">
        <v>16</v>
      </c>
      <c r="B13" s="1">
        <v>0.11</v>
      </c>
      <c r="C13">
        <v>0</v>
      </c>
    </row>
    <row r="14" spans="1:3" ht="15.75" thickBot="1" x14ac:dyDescent="0.3">
      <c r="A14" t="s">
        <v>17</v>
      </c>
      <c r="B14" s="1">
        <v>0.11</v>
      </c>
      <c r="C14">
        <v>0</v>
      </c>
    </row>
    <row r="15" spans="1:3" hidden="1" x14ac:dyDescent="0.25">
      <c r="B15" s="1"/>
    </row>
    <row r="16" spans="1:3" hidden="1" x14ac:dyDescent="0.25">
      <c r="A16" t="s">
        <v>18</v>
      </c>
      <c r="B16" s="1"/>
    </row>
    <row r="17" spans="1:7" ht="15.75" thickBot="1" x14ac:dyDescent="0.3">
      <c r="A17" t="s">
        <v>19</v>
      </c>
      <c r="B17" s="84">
        <v>67101.64</v>
      </c>
      <c r="C17">
        <v>0.01</v>
      </c>
    </row>
    <row r="18" spans="1:7" ht="15.75" thickBot="1" x14ac:dyDescent="0.3">
      <c r="A18" s="3" t="s">
        <v>20</v>
      </c>
      <c r="B18" s="84">
        <v>1873825.38</v>
      </c>
      <c r="C18">
        <v>0.34</v>
      </c>
    </row>
    <row r="19" spans="1:7" hidden="1" x14ac:dyDescent="0.25">
      <c r="A19" t="s">
        <v>21</v>
      </c>
      <c r="B19" s="1">
        <v>1940927.02</v>
      </c>
      <c r="C19">
        <v>0.35</v>
      </c>
      <c r="G19" s="2"/>
    </row>
    <row r="20" spans="1:7" hidden="1" x14ac:dyDescent="0.25">
      <c r="B20" s="1"/>
    </row>
    <row r="21" spans="1:7" hidden="1" x14ac:dyDescent="0.25">
      <c r="A21" t="s">
        <v>22</v>
      </c>
      <c r="B21" s="1"/>
    </row>
    <row r="22" spans="1:7" hidden="1" x14ac:dyDescent="0.25">
      <c r="A22" t="s">
        <v>23</v>
      </c>
      <c r="B22" s="1">
        <v>2460</v>
      </c>
      <c r="C22">
        <v>0</v>
      </c>
    </row>
    <row r="23" spans="1:7" hidden="1" x14ac:dyDescent="0.25">
      <c r="A23" t="s">
        <v>24</v>
      </c>
      <c r="B23" s="1">
        <v>962</v>
      </c>
      <c r="C23">
        <v>0</v>
      </c>
    </row>
    <row r="24" spans="1:7" hidden="1" x14ac:dyDescent="0.25">
      <c r="A24" t="s">
        <v>25</v>
      </c>
      <c r="B24" s="1">
        <v>4498.9799999999996</v>
      </c>
      <c r="C24">
        <v>0</v>
      </c>
    </row>
    <row r="25" spans="1:7" hidden="1" x14ac:dyDescent="0.25">
      <c r="A25" t="s">
        <v>26</v>
      </c>
      <c r="B25" s="1">
        <v>950</v>
      </c>
      <c r="C25">
        <v>0</v>
      </c>
    </row>
    <row r="26" spans="1:7" hidden="1" x14ac:dyDescent="0.25">
      <c r="A26" t="s">
        <v>27</v>
      </c>
      <c r="B26" s="1">
        <v>990</v>
      </c>
      <c r="C26">
        <v>0</v>
      </c>
    </row>
    <row r="27" spans="1:7" hidden="1" x14ac:dyDescent="0.25">
      <c r="A27" t="s">
        <v>28</v>
      </c>
      <c r="B27" s="1">
        <v>1039.96</v>
      </c>
      <c r="C27">
        <v>0</v>
      </c>
    </row>
    <row r="28" spans="1:7" hidden="1" x14ac:dyDescent="0.25">
      <c r="A28" t="s">
        <v>29</v>
      </c>
      <c r="B28" s="1">
        <v>1665</v>
      </c>
      <c r="C28">
        <v>0</v>
      </c>
    </row>
    <row r="29" spans="1:7" hidden="1" x14ac:dyDescent="0.25">
      <c r="A29" t="s">
        <v>30</v>
      </c>
      <c r="B29" s="1">
        <v>1875</v>
      </c>
      <c r="C29">
        <v>0</v>
      </c>
    </row>
    <row r="30" spans="1:7" hidden="1" x14ac:dyDescent="0.25">
      <c r="A30" t="s">
        <v>31</v>
      </c>
      <c r="B30" s="1">
        <v>3568.22</v>
      </c>
      <c r="C30">
        <v>0</v>
      </c>
    </row>
    <row r="31" spans="1:7" hidden="1" x14ac:dyDescent="0.25">
      <c r="A31" t="s">
        <v>23</v>
      </c>
      <c r="B31" s="1">
        <v>8338.01</v>
      </c>
      <c r="C31">
        <v>0</v>
      </c>
    </row>
    <row r="32" spans="1:7" hidden="1" x14ac:dyDescent="0.25">
      <c r="A32" t="s">
        <v>25</v>
      </c>
      <c r="B32" s="1">
        <v>13451.99</v>
      </c>
      <c r="C32">
        <v>0</v>
      </c>
    </row>
    <row r="33" spans="1:7" hidden="1" x14ac:dyDescent="0.25">
      <c r="A33" t="s">
        <v>32</v>
      </c>
      <c r="B33" s="1">
        <v>2796.87</v>
      </c>
      <c r="C33">
        <v>0</v>
      </c>
    </row>
    <row r="34" spans="1:7" hidden="1" x14ac:dyDescent="0.25">
      <c r="A34" t="s">
        <v>27</v>
      </c>
      <c r="B34" s="1">
        <v>3899.02</v>
      </c>
      <c r="C34">
        <v>0</v>
      </c>
    </row>
    <row r="35" spans="1:7" hidden="1" x14ac:dyDescent="0.25">
      <c r="A35" t="s">
        <v>33</v>
      </c>
      <c r="B35" s="1">
        <v>4192.99</v>
      </c>
      <c r="C35">
        <v>0</v>
      </c>
    </row>
    <row r="36" spans="1:7" hidden="1" x14ac:dyDescent="0.25">
      <c r="A36" t="s">
        <v>29</v>
      </c>
      <c r="B36" s="1">
        <v>7228.66</v>
      </c>
      <c r="C36">
        <v>0</v>
      </c>
    </row>
    <row r="37" spans="1:7" hidden="1" x14ac:dyDescent="0.25">
      <c r="A37" t="s">
        <v>30</v>
      </c>
      <c r="B37" s="1">
        <v>6750</v>
      </c>
      <c r="C37">
        <v>0</v>
      </c>
    </row>
    <row r="38" spans="1:7" hidden="1" x14ac:dyDescent="0.25">
      <c r="A38" t="s">
        <v>34</v>
      </c>
      <c r="B38" s="1">
        <v>512.54999999999995</v>
      </c>
      <c r="C38">
        <v>0</v>
      </c>
    </row>
    <row r="39" spans="1:7" hidden="1" x14ac:dyDescent="0.25">
      <c r="A39" t="s">
        <v>23</v>
      </c>
      <c r="B39" s="1">
        <v>1774.49</v>
      </c>
      <c r="C39">
        <v>0</v>
      </c>
    </row>
    <row r="40" spans="1:7" hidden="1" x14ac:dyDescent="0.25">
      <c r="A40" t="s">
        <v>35</v>
      </c>
      <c r="B40" s="1">
        <v>2700</v>
      </c>
      <c r="C40">
        <v>0</v>
      </c>
    </row>
    <row r="41" spans="1:7" hidden="1" x14ac:dyDescent="0.25">
      <c r="A41" t="s">
        <v>36</v>
      </c>
      <c r="B41" s="1">
        <v>580</v>
      </c>
      <c r="C41">
        <v>0</v>
      </c>
    </row>
    <row r="42" spans="1:7" hidden="1" x14ac:dyDescent="0.25">
      <c r="A42" t="s">
        <v>37</v>
      </c>
      <c r="B42" s="1">
        <v>661.99</v>
      </c>
      <c r="C42">
        <v>0</v>
      </c>
    </row>
    <row r="43" spans="1:7" hidden="1" x14ac:dyDescent="0.25">
      <c r="A43" t="s">
        <v>38</v>
      </c>
      <c r="B43" s="1">
        <v>760</v>
      </c>
      <c r="C43">
        <v>0</v>
      </c>
    </row>
    <row r="44" spans="1:7" hidden="1" x14ac:dyDescent="0.25">
      <c r="A44" t="s">
        <v>29</v>
      </c>
      <c r="B44" s="1">
        <v>1649.99</v>
      </c>
      <c r="C44">
        <v>0</v>
      </c>
    </row>
    <row r="45" spans="1:7" hidden="1" x14ac:dyDescent="0.25">
      <c r="A45" t="s">
        <v>39</v>
      </c>
      <c r="B45" s="1">
        <v>975</v>
      </c>
      <c r="C45">
        <v>0</v>
      </c>
    </row>
    <row r="46" spans="1:7" x14ac:dyDescent="0.25">
      <c r="A46" t="s">
        <v>40</v>
      </c>
      <c r="B46" s="85">
        <v>74280.72</v>
      </c>
      <c r="C46">
        <v>0.01</v>
      </c>
      <c r="G46" s="2"/>
    </row>
    <row r="47" spans="1:7" hidden="1" x14ac:dyDescent="0.25">
      <c r="B47" s="1"/>
    </row>
    <row r="48" spans="1:7" hidden="1" x14ac:dyDescent="0.25">
      <c r="A48" t="s">
        <v>41</v>
      </c>
      <c r="B48" s="1"/>
    </row>
    <row r="49" spans="1:7" hidden="1" x14ac:dyDescent="0.25">
      <c r="A49" t="s">
        <v>42</v>
      </c>
      <c r="B49" s="1">
        <v>4126929.56</v>
      </c>
      <c r="C49">
        <v>0.74</v>
      </c>
    </row>
    <row r="50" spans="1:7" x14ac:dyDescent="0.25">
      <c r="A50" t="s">
        <v>43</v>
      </c>
      <c r="B50" s="88">
        <v>4126929.56</v>
      </c>
      <c r="C50">
        <v>0.74</v>
      </c>
      <c r="G50" s="2"/>
    </row>
    <row r="51" spans="1:7" hidden="1" x14ac:dyDescent="0.25">
      <c r="B51" s="1"/>
    </row>
    <row r="52" spans="1:7" hidden="1" x14ac:dyDescent="0.25">
      <c r="A52" t="s">
        <v>44</v>
      </c>
      <c r="B52" s="1"/>
    </row>
    <row r="53" spans="1:7" hidden="1" x14ac:dyDescent="0.25">
      <c r="A53" t="s">
        <v>45</v>
      </c>
      <c r="B53" s="1">
        <v>70.069999999999993</v>
      </c>
      <c r="C53">
        <v>0</v>
      </c>
    </row>
    <row r="54" spans="1:7" x14ac:dyDescent="0.25">
      <c r="A54" t="s">
        <v>46</v>
      </c>
      <c r="B54" s="87">
        <v>70.069999999999993</v>
      </c>
      <c r="C54">
        <v>0</v>
      </c>
      <c r="G54" s="2"/>
    </row>
    <row r="55" spans="1:7" hidden="1" x14ac:dyDescent="0.25">
      <c r="B55" s="1"/>
    </row>
    <row r="56" spans="1:7" hidden="1" x14ac:dyDescent="0.25">
      <c r="A56" t="s">
        <v>47</v>
      </c>
      <c r="B56" s="1"/>
    </row>
    <row r="57" spans="1:7" x14ac:dyDescent="0.25">
      <c r="A57" t="s">
        <v>48</v>
      </c>
      <c r="B57" s="86">
        <v>285329.24</v>
      </c>
      <c r="C57">
        <v>0.05</v>
      </c>
    </row>
    <row r="58" spans="1:7" hidden="1" x14ac:dyDescent="0.25">
      <c r="A58" t="s">
        <v>49</v>
      </c>
      <c r="B58" s="1">
        <v>285329.24</v>
      </c>
      <c r="C58">
        <v>0.05</v>
      </c>
      <c r="G58" s="2"/>
    </row>
    <row r="59" spans="1:7" ht="15" hidden="1" customHeight="1" x14ac:dyDescent="0.25">
      <c r="B59" s="1"/>
    </row>
    <row r="60" spans="1:7" ht="15" hidden="1" customHeight="1" x14ac:dyDescent="0.25">
      <c r="A60" t="s">
        <v>50</v>
      </c>
      <c r="B60" s="1"/>
    </row>
    <row r="61" spans="1:7" ht="15" hidden="1" customHeight="1" x14ac:dyDescent="0.25">
      <c r="A61" t="s">
        <v>50</v>
      </c>
      <c r="B61" s="1">
        <v>0</v>
      </c>
      <c r="C61">
        <v>0</v>
      </c>
    </row>
    <row r="62" spans="1:7" ht="15" hidden="1" customHeight="1" x14ac:dyDescent="0.25">
      <c r="A62" t="s">
        <v>51</v>
      </c>
      <c r="B62" s="1">
        <v>0</v>
      </c>
      <c r="C62">
        <v>0</v>
      </c>
    </row>
    <row r="63" spans="1:7" ht="15" hidden="1" customHeight="1" x14ac:dyDescent="0.25">
      <c r="B63" s="1"/>
    </row>
    <row r="64" spans="1:7" ht="15" hidden="1" customHeight="1" x14ac:dyDescent="0.25">
      <c r="B64" s="1"/>
    </row>
    <row r="65" spans="1:7" ht="15" hidden="1" customHeight="1" x14ac:dyDescent="0.25">
      <c r="B65" s="1"/>
    </row>
    <row r="66" spans="1:7" ht="15" hidden="1" customHeight="1" x14ac:dyDescent="0.25">
      <c r="B66" s="1"/>
    </row>
    <row r="67" spans="1:7" ht="15" hidden="1" customHeight="1" x14ac:dyDescent="0.25">
      <c r="B67" s="1"/>
    </row>
    <row r="68" spans="1:7" ht="15" hidden="1" customHeight="1" x14ac:dyDescent="0.25">
      <c r="B68" s="1"/>
    </row>
    <row r="69" spans="1:7" ht="15" hidden="1" customHeight="1" x14ac:dyDescent="0.25">
      <c r="A69" t="s">
        <v>0</v>
      </c>
      <c r="B69" s="1" t="s">
        <v>1</v>
      </c>
      <c r="C69">
        <v>2</v>
      </c>
    </row>
    <row r="70" spans="1:7" ht="15" hidden="1" customHeight="1" x14ac:dyDescent="0.25">
      <c r="A70" t="s">
        <v>2</v>
      </c>
      <c r="B70" s="1" t="s">
        <v>3</v>
      </c>
      <c r="C70">
        <v>4</v>
      </c>
    </row>
    <row r="71" spans="1:7" ht="15" hidden="1" customHeight="1" x14ac:dyDescent="0.25">
      <c r="A71" t="s">
        <v>4</v>
      </c>
      <c r="B71" s="1" t="s">
        <v>5</v>
      </c>
      <c r="C71">
        <v>355982</v>
      </c>
    </row>
    <row r="72" spans="1:7" ht="15" hidden="1" customHeight="1" x14ac:dyDescent="0.25">
      <c r="B72" s="1"/>
    </row>
    <row r="73" spans="1:7" ht="15" hidden="1" customHeight="1" x14ac:dyDescent="0.25">
      <c r="B73" s="1"/>
    </row>
    <row r="74" spans="1:7" ht="15" hidden="1" customHeight="1" x14ac:dyDescent="0.25">
      <c r="A74" t="s">
        <v>6</v>
      </c>
      <c r="B74" s="1" t="s">
        <v>7</v>
      </c>
      <c r="C74" t="s">
        <v>8</v>
      </c>
    </row>
    <row r="75" spans="1:7" ht="15" hidden="1" customHeight="1" x14ac:dyDescent="0.25">
      <c r="A75" t="s">
        <v>9</v>
      </c>
      <c r="B75" s="1" t="s">
        <v>10</v>
      </c>
      <c r="C75" t="s">
        <v>11</v>
      </c>
    </row>
    <row r="76" spans="1:7" ht="15" hidden="1" customHeight="1" x14ac:dyDescent="0.25">
      <c r="B76" s="1"/>
    </row>
    <row r="77" spans="1:7" ht="15" hidden="1" customHeight="1" x14ac:dyDescent="0.25">
      <c r="A77" t="s">
        <v>12</v>
      </c>
      <c r="B77" s="1" t="s">
        <v>13</v>
      </c>
      <c r="C77" t="s">
        <v>14</v>
      </c>
    </row>
    <row r="78" spans="1:7" ht="15" hidden="1" customHeight="1" x14ac:dyDescent="0.25">
      <c r="A78" t="s">
        <v>52</v>
      </c>
      <c r="B78" s="1"/>
    </row>
    <row r="79" spans="1:7" x14ac:dyDescent="0.25">
      <c r="A79" t="s">
        <v>53</v>
      </c>
      <c r="B79" s="1">
        <v>160</v>
      </c>
      <c r="C79">
        <v>0</v>
      </c>
    </row>
    <row r="80" spans="1:7" x14ac:dyDescent="0.25">
      <c r="A80" t="s">
        <v>54</v>
      </c>
      <c r="B80" s="1">
        <v>19245</v>
      </c>
      <c r="C80">
        <v>0</v>
      </c>
      <c r="G80" s="64">
        <f>B80+B81+B79</f>
        <v>61250</v>
      </c>
    </row>
    <row r="81" spans="1:7" x14ac:dyDescent="0.25">
      <c r="A81" t="s">
        <v>55</v>
      </c>
      <c r="B81" s="1">
        <v>41845</v>
      </c>
      <c r="C81">
        <v>0.01</v>
      </c>
      <c r="G81">
        <f>SUM([9]Page1_1!$G$4:$G$9)</f>
        <v>6420991.2200000007</v>
      </c>
    </row>
    <row r="82" spans="1:7" ht="15" hidden="1" customHeight="1" x14ac:dyDescent="0.25">
      <c r="A82" t="s">
        <v>56</v>
      </c>
      <c r="B82" s="1">
        <v>61250</v>
      </c>
      <c r="C82">
        <v>0</v>
      </c>
      <c r="G82" s="2">
        <f>+B82</f>
        <v>61250</v>
      </c>
    </row>
    <row r="83" spans="1:7" x14ac:dyDescent="0.25">
      <c r="A83" s="4" t="s">
        <v>73</v>
      </c>
      <c r="B83" s="5">
        <f>+B14+B17+B18+B46+B50+B54+B57+B79+B80+B81</f>
        <v>6488786.7200000007</v>
      </c>
      <c r="G83" s="64">
        <f>G81+G80</f>
        <v>6482241.2200000007</v>
      </c>
    </row>
    <row r="84" spans="1:7" x14ac:dyDescent="0.25">
      <c r="B84" s="1"/>
    </row>
    <row r="85" spans="1:7" x14ac:dyDescent="0.25">
      <c r="A85" t="s">
        <v>57</v>
      </c>
      <c r="B85" s="1"/>
    </row>
    <row r="86" spans="1:7" x14ac:dyDescent="0.25">
      <c r="A86" t="s">
        <v>58</v>
      </c>
      <c r="B86" s="1">
        <v>32016.09</v>
      </c>
      <c r="C86">
        <v>0.01</v>
      </c>
    </row>
    <row r="87" spans="1:7" x14ac:dyDescent="0.25">
      <c r="A87" t="s">
        <v>59</v>
      </c>
      <c r="B87" s="1">
        <v>264362.86</v>
      </c>
      <c r="C87">
        <v>0.05</v>
      </c>
    </row>
    <row r="88" spans="1:7" x14ac:dyDescent="0.25">
      <c r="A88" t="s">
        <v>60</v>
      </c>
      <c r="B88" s="1">
        <v>162552.32999999999</v>
      </c>
      <c r="C88">
        <v>0.03</v>
      </c>
    </row>
    <row r="89" spans="1:7" x14ac:dyDescent="0.25">
      <c r="A89" t="s">
        <v>61</v>
      </c>
      <c r="B89" s="1">
        <v>235204.64</v>
      </c>
      <c r="C89">
        <v>0.04</v>
      </c>
    </row>
    <row r="90" spans="1:7" x14ac:dyDescent="0.25">
      <c r="A90" t="s">
        <v>62</v>
      </c>
      <c r="B90" s="1">
        <v>136927.51999999999</v>
      </c>
      <c r="C90">
        <v>0.02</v>
      </c>
    </row>
    <row r="91" spans="1:7" x14ac:dyDescent="0.25">
      <c r="A91" t="s">
        <v>63</v>
      </c>
      <c r="B91" s="1">
        <v>9630.9</v>
      </c>
      <c r="C91">
        <v>0</v>
      </c>
    </row>
    <row r="92" spans="1:7" x14ac:dyDescent="0.25">
      <c r="A92" t="s">
        <v>64</v>
      </c>
      <c r="B92" s="1">
        <v>53449.9</v>
      </c>
      <c r="C92">
        <v>0.01</v>
      </c>
    </row>
    <row r="93" spans="1:7" x14ac:dyDescent="0.25">
      <c r="A93" t="s">
        <v>65</v>
      </c>
      <c r="B93" s="1">
        <v>1691.9</v>
      </c>
      <c r="C93">
        <v>0</v>
      </c>
    </row>
    <row r="94" spans="1:7" x14ac:dyDescent="0.25">
      <c r="A94" t="s">
        <v>66</v>
      </c>
      <c r="B94" s="1">
        <v>17444</v>
      </c>
      <c r="C94">
        <v>0</v>
      </c>
    </row>
    <row r="95" spans="1:7" x14ac:dyDescent="0.25">
      <c r="A95" t="s">
        <v>67</v>
      </c>
      <c r="B95" s="1">
        <v>7766</v>
      </c>
      <c r="C95">
        <v>0</v>
      </c>
    </row>
    <row r="96" spans="1:7" x14ac:dyDescent="0.25">
      <c r="A96" t="s">
        <v>68</v>
      </c>
      <c r="B96" s="1">
        <v>6740</v>
      </c>
      <c r="C96">
        <v>0</v>
      </c>
    </row>
    <row r="97" spans="1:7" x14ac:dyDescent="0.25">
      <c r="A97" t="s">
        <v>69</v>
      </c>
      <c r="B97" s="1">
        <v>39718.75</v>
      </c>
      <c r="C97">
        <v>0.01</v>
      </c>
    </row>
    <row r="98" spans="1:7" x14ac:dyDescent="0.25">
      <c r="A98" t="s">
        <v>70</v>
      </c>
      <c r="B98" s="1">
        <v>23955.74</v>
      </c>
      <c r="C98">
        <v>0</v>
      </c>
    </row>
    <row r="99" spans="1:7" x14ac:dyDescent="0.25">
      <c r="A99" t="s">
        <v>71</v>
      </c>
      <c r="B99" s="1">
        <v>18799.689999999999</v>
      </c>
      <c r="C99">
        <v>0</v>
      </c>
    </row>
    <row r="100" spans="1:7" hidden="1" x14ac:dyDescent="0.25">
      <c r="B100" s="1">
        <v>0</v>
      </c>
      <c r="C100">
        <v>0</v>
      </c>
    </row>
    <row r="101" spans="1:7" hidden="1" x14ac:dyDescent="0.25">
      <c r="B101" s="1">
        <v>0</v>
      </c>
      <c r="C101">
        <v>0</v>
      </c>
    </row>
    <row r="102" spans="1:7" hidden="1" x14ac:dyDescent="0.25">
      <c r="B102" s="1">
        <v>0</v>
      </c>
      <c r="C102">
        <v>0</v>
      </c>
    </row>
    <row r="103" spans="1:7" hidden="1" x14ac:dyDescent="0.25">
      <c r="B103" s="1">
        <v>0</v>
      </c>
      <c r="C103">
        <v>0</v>
      </c>
    </row>
    <row r="104" spans="1:7" hidden="1" x14ac:dyDescent="0.25">
      <c r="B104" s="1">
        <v>0</v>
      </c>
      <c r="C104">
        <v>0</v>
      </c>
    </row>
    <row r="105" spans="1:7" x14ac:dyDescent="0.25">
      <c r="A105" s="4" t="s">
        <v>74</v>
      </c>
      <c r="B105" s="5">
        <v>1010260.32</v>
      </c>
      <c r="C105">
        <v>0.18</v>
      </c>
      <c r="G105" s="2">
        <f>+B105</f>
        <v>1010260.32</v>
      </c>
    </row>
    <row r="106" spans="1:7" x14ac:dyDescent="0.25">
      <c r="B106" s="1"/>
    </row>
    <row r="107" spans="1:7" x14ac:dyDescent="0.25">
      <c r="A107" s="6" t="s">
        <v>72</v>
      </c>
      <c r="B107" s="7">
        <v>7499047.04</v>
      </c>
      <c r="C107">
        <v>1.35</v>
      </c>
      <c r="G107" s="2">
        <f>+G105+G82+G58+G54+G50+G46+G19</f>
        <v>1071510.3199999998</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M21"/>
  <sheetViews>
    <sheetView workbookViewId="0">
      <selection activeCell="G32" sqref="G32"/>
    </sheetView>
  </sheetViews>
  <sheetFormatPr defaultRowHeight="15" x14ac:dyDescent="0.25"/>
  <cols>
    <col min="2" max="2" width="23.5703125" bestFit="1" customWidth="1"/>
    <col min="3" max="3" width="19.42578125" bestFit="1" customWidth="1"/>
    <col min="4" max="4" width="17.5703125" bestFit="1" customWidth="1"/>
    <col min="5" max="5" width="17.28515625" bestFit="1" customWidth="1"/>
    <col min="6" max="6" width="19.85546875" bestFit="1" customWidth="1"/>
    <col min="7" max="7" width="18.28515625" bestFit="1" customWidth="1"/>
    <col min="8" max="8" width="11.5703125" bestFit="1" customWidth="1"/>
    <col min="9" max="9" width="12.5703125" bestFit="1" customWidth="1"/>
    <col min="10" max="10" width="14" bestFit="1" customWidth="1"/>
    <col min="11" max="11" width="18.7109375" bestFit="1" customWidth="1"/>
    <col min="12" max="12" width="21" bestFit="1" customWidth="1"/>
    <col min="13" max="13" width="14.28515625" bestFit="1" customWidth="1"/>
  </cols>
  <sheetData>
    <row r="2" spans="2:13" x14ac:dyDescent="0.25">
      <c r="B2" s="19" t="s">
        <v>149</v>
      </c>
      <c r="C2" s="19" t="s">
        <v>144</v>
      </c>
      <c r="D2" s="104"/>
      <c r="E2" s="104"/>
      <c r="F2" s="104"/>
      <c r="G2" s="104"/>
      <c r="H2" s="104"/>
      <c r="I2" s="104"/>
      <c r="J2" s="104"/>
      <c r="K2" s="104"/>
      <c r="L2" s="104"/>
      <c r="M2" s="104"/>
    </row>
    <row r="3" spans="2:13" x14ac:dyDescent="0.25">
      <c r="B3" s="19" t="s">
        <v>88</v>
      </c>
      <c r="C3" s="104" t="s">
        <v>136</v>
      </c>
      <c r="D3" s="104" t="s">
        <v>140</v>
      </c>
      <c r="E3" s="104" t="s">
        <v>135</v>
      </c>
      <c r="F3" s="104" t="s">
        <v>134</v>
      </c>
      <c r="G3" s="104" t="s">
        <v>139</v>
      </c>
      <c r="H3" s="104" t="s">
        <v>137</v>
      </c>
      <c r="I3" s="104" t="s">
        <v>102</v>
      </c>
      <c r="J3" s="104" t="s">
        <v>141</v>
      </c>
      <c r="K3" s="104" t="s">
        <v>138</v>
      </c>
      <c r="L3" s="104" t="s">
        <v>48</v>
      </c>
      <c r="M3" s="104" t="s">
        <v>89</v>
      </c>
    </row>
    <row r="4" spans="2:13" x14ac:dyDescent="0.25">
      <c r="B4" s="105">
        <v>2005</v>
      </c>
      <c r="C4" s="43">
        <v>524110</v>
      </c>
      <c r="D4" s="43">
        <v>0</v>
      </c>
      <c r="E4" s="43">
        <v>585149</v>
      </c>
      <c r="F4" s="43">
        <v>27100608</v>
      </c>
      <c r="G4" s="43">
        <v>693690</v>
      </c>
      <c r="H4" s="43">
        <v>7084530</v>
      </c>
      <c r="I4" s="43">
        <v>15688126</v>
      </c>
      <c r="J4" s="43">
        <v>0</v>
      </c>
      <c r="K4" s="43">
        <v>216650</v>
      </c>
      <c r="L4" s="43"/>
      <c r="M4" s="43">
        <v>51892863</v>
      </c>
    </row>
    <row r="5" spans="2:13" x14ac:dyDescent="0.25">
      <c r="B5" s="105">
        <v>2006</v>
      </c>
      <c r="C5" s="43">
        <v>433285</v>
      </c>
      <c r="D5" s="43">
        <v>0</v>
      </c>
      <c r="E5" s="43">
        <v>615000</v>
      </c>
      <c r="F5" s="43">
        <v>28608578</v>
      </c>
      <c r="G5" s="43">
        <v>641815</v>
      </c>
      <c r="H5" s="43">
        <v>7197495</v>
      </c>
      <c r="I5" s="43">
        <v>19167581.640000001</v>
      </c>
      <c r="J5" s="43">
        <v>0</v>
      </c>
      <c r="K5" s="43">
        <v>287850</v>
      </c>
      <c r="L5" s="43"/>
      <c r="M5" s="43">
        <v>56951604.640000001</v>
      </c>
    </row>
    <row r="6" spans="2:13" x14ac:dyDescent="0.25">
      <c r="B6" s="105">
        <v>2007</v>
      </c>
      <c r="C6" s="43">
        <v>279960</v>
      </c>
      <c r="D6" s="43">
        <v>0</v>
      </c>
      <c r="E6" s="43">
        <v>241232</v>
      </c>
      <c r="F6" s="43">
        <v>37618409</v>
      </c>
      <c r="G6" s="43">
        <v>197160</v>
      </c>
      <c r="H6" s="43">
        <v>6731198</v>
      </c>
      <c r="I6" s="43">
        <v>22448587</v>
      </c>
      <c r="J6" s="43">
        <v>0</v>
      </c>
      <c r="K6" s="43">
        <v>342700</v>
      </c>
      <c r="L6" s="43"/>
      <c r="M6" s="43">
        <v>67859246</v>
      </c>
    </row>
    <row r="7" spans="2:13" x14ac:dyDescent="0.25">
      <c r="B7" s="105">
        <v>2008</v>
      </c>
      <c r="C7" s="43">
        <v>0</v>
      </c>
      <c r="D7" s="43">
        <v>0</v>
      </c>
      <c r="E7" s="43"/>
      <c r="F7" s="43">
        <v>40613652</v>
      </c>
      <c r="G7" s="43">
        <v>4680</v>
      </c>
      <c r="H7" s="43">
        <v>7033710</v>
      </c>
      <c r="I7" s="43">
        <v>21050329</v>
      </c>
      <c r="J7" s="43">
        <v>0</v>
      </c>
      <c r="K7" s="43">
        <v>377700</v>
      </c>
      <c r="L7" s="43"/>
      <c r="M7" s="43">
        <v>69080071</v>
      </c>
    </row>
    <row r="8" spans="2:13" x14ac:dyDescent="0.25">
      <c r="B8" s="105">
        <v>2009</v>
      </c>
      <c r="C8" s="43"/>
      <c r="D8" s="43">
        <v>0</v>
      </c>
      <c r="E8" s="43"/>
      <c r="F8" s="43">
        <v>39117084</v>
      </c>
      <c r="G8" s="43">
        <v>2815</v>
      </c>
      <c r="H8" s="43">
        <v>3772835</v>
      </c>
      <c r="I8" s="43">
        <v>22439172</v>
      </c>
      <c r="J8" s="43">
        <v>0</v>
      </c>
      <c r="K8" s="43">
        <v>397850</v>
      </c>
      <c r="L8" s="43"/>
      <c r="M8" s="43">
        <v>65729756</v>
      </c>
    </row>
    <row r="9" spans="2:13" x14ac:dyDescent="0.25">
      <c r="B9" s="105">
        <v>2010</v>
      </c>
      <c r="C9" s="43"/>
      <c r="D9" s="43">
        <v>0</v>
      </c>
      <c r="E9" s="43"/>
      <c r="F9" s="43">
        <v>36958623</v>
      </c>
      <c r="G9" s="43">
        <v>2415</v>
      </c>
      <c r="H9" s="43">
        <v>2157145</v>
      </c>
      <c r="I9" s="43">
        <v>23563733</v>
      </c>
      <c r="J9" s="43">
        <v>0</v>
      </c>
      <c r="K9" s="43">
        <v>322800</v>
      </c>
      <c r="L9" s="43"/>
      <c r="M9" s="43">
        <v>63004716</v>
      </c>
    </row>
    <row r="10" spans="2:13" x14ac:dyDescent="0.25">
      <c r="B10" s="105">
        <v>2011</v>
      </c>
      <c r="C10" s="43"/>
      <c r="D10" s="43">
        <v>0</v>
      </c>
      <c r="E10" s="43"/>
      <c r="F10" s="43">
        <v>33217379</v>
      </c>
      <c r="G10" s="43">
        <v>30</v>
      </c>
      <c r="H10" s="43">
        <v>1335280</v>
      </c>
      <c r="I10" s="43">
        <v>27099251</v>
      </c>
      <c r="J10" s="43">
        <v>0</v>
      </c>
      <c r="K10" s="43">
        <v>350800</v>
      </c>
      <c r="L10" s="43"/>
      <c r="M10" s="43">
        <v>62002740</v>
      </c>
    </row>
    <row r="11" spans="2:13" x14ac:dyDescent="0.25">
      <c r="B11" s="105">
        <v>2012</v>
      </c>
      <c r="C11" s="43"/>
      <c r="D11" s="43">
        <v>0</v>
      </c>
      <c r="E11" s="43"/>
      <c r="F11" s="43">
        <v>30762195</v>
      </c>
      <c r="G11" s="43"/>
      <c r="H11" s="43">
        <v>1197060</v>
      </c>
      <c r="I11" s="43">
        <v>29700522</v>
      </c>
      <c r="J11" s="43">
        <v>0</v>
      </c>
      <c r="K11" s="43">
        <v>34750</v>
      </c>
      <c r="L11" s="43"/>
      <c r="M11" s="43">
        <v>61694527</v>
      </c>
    </row>
    <row r="12" spans="2:13" x14ac:dyDescent="0.25">
      <c r="B12" s="105">
        <v>2013</v>
      </c>
      <c r="C12" s="43"/>
      <c r="D12" s="43">
        <v>0</v>
      </c>
      <c r="E12" s="43"/>
      <c r="F12" s="43">
        <v>25545330</v>
      </c>
      <c r="G12" s="43"/>
      <c r="H12" s="43">
        <v>1320370</v>
      </c>
      <c r="I12" s="43">
        <v>34327982</v>
      </c>
      <c r="J12" s="43">
        <v>0</v>
      </c>
      <c r="K12" s="43">
        <v>0</v>
      </c>
      <c r="L12" s="43"/>
      <c r="M12" s="43">
        <v>61193682</v>
      </c>
    </row>
    <row r="13" spans="2:13" x14ac:dyDescent="0.25">
      <c r="B13" s="105">
        <v>2014</v>
      </c>
      <c r="C13" s="43"/>
      <c r="D13" s="43">
        <v>0</v>
      </c>
      <c r="E13" s="43"/>
      <c r="F13" s="43">
        <v>25454046</v>
      </c>
      <c r="G13" s="43"/>
      <c r="H13" s="43">
        <v>2750145</v>
      </c>
      <c r="I13" s="43">
        <v>42952970</v>
      </c>
      <c r="J13" s="43">
        <v>0</v>
      </c>
      <c r="K13" s="43">
        <v>0</v>
      </c>
      <c r="L13" s="43"/>
      <c r="M13" s="43">
        <v>71157161</v>
      </c>
    </row>
    <row r="14" spans="2:13" x14ac:dyDescent="0.25">
      <c r="B14" s="105">
        <v>2015</v>
      </c>
      <c r="C14" s="43"/>
      <c r="D14" s="43">
        <v>0</v>
      </c>
      <c r="E14" s="43"/>
      <c r="F14" s="43">
        <v>26806079</v>
      </c>
      <c r="G14" s="43"/>
      <c r="H14" s="43">
        <v>2851845</v>
      </c>
      <c r="I14" s="43">
        <v>46682770</v>
      </c>
      <c r="J14" s="43">
        <v>0</v>
      </c>
      <c r="K14" s="43">
        <v>0</v>
      </c>
      <c r="L14" s="43"/>
      <c r="M14" s="43">
        <v>76340694</v>
      </c>
    </row>
    <row r="15" spans="2:13" x14ac:dyDescent="0.25">
      <c r="B15" s="105">
        <v>2016</v>
      </c>
      <c r="C15" s="43"/>
      <c r="D15" s="43">
        <v>0</v>
      </c>
      <c r="E15" s="43"/>
      <c r="F15" s="43">
        <v>26118089</v>
      </c>
      <c r="G15" s="43"/>
      <c r="H15" s="43">
        <v>3153370</v>
      </c>
      <c r="I15" s="43">
        <v>46062877</v>
      </c>
      <c r="J15" s="43">
        <v>0</v>
      </c>
      <c r="K15" s="43">
        <v>0</v>
      </c>
      <c r="L15" s="43"/>
      <c r="M15" s="43">
        <v>75334336</v>
      </c>
    </row>
    <row r="16" spans="2:13" x14ac:dyDescent="0.25">
      <c r="B16" s="105">
        <v>2017</v>
      </c>
      <c r="C16" s="43"/>
      <c r="D16" s="43">
        <v>0</v>
      </c>
      <c r="E16" s="43"/>
      <c r="F16" s="43">
        <v>23816822</v>
      </c>
      <c r="G16" s="43"/>
      <c r="H16" s="43">
        <v>2716072</v>
      </c>
      <c r="I16" s="43">
        <v>52306205</v>
      </c>
      <c r="J16" s="43">
        <v>0</v>
      </c>
      <c r="K16" s="43"/>
      <c r="L16" s="43">
        <v>272989</v>
      </c>
      <c r="M16" s="43">
        <v>79112088</v>
      </c>
    </row>
    <row r="17" spans="2:13" x14ac:dyDescent="0.25">
      <c r="B17" s="105">
        <v>2018</v>
      </c>
      <c r="C17" s="43"/>
      <c r="D17" s="43">
        <v>0</v>
      </c>
      <c r="E17" s="43"/>
      <c r="F17" s="43">
        <v>23532688</v>
      </c>
      <c r="G17" s="43"/>
      <c r="H17" s="43">
        <v>1513082</v>
      </c>
      <c r="I17" s="43">
        <v>51945853</v>
      </c>
      <c r="J17" s="43">
        <v>0</v>
      </c>
      <c r="K17" s="43">
        <v>50</v>
      </c>
      <c r="L17" s="43">
        <v>2748170</v>
      </c>
      <c r="M17" s="43">
        <v>79739843</v>
      </c>
    </row>
    <row r="18" spans="2:13" x14ac:dyDescent="0.25">
      <c r="B18" s="105">
        <v>2019</v>
      </c>
      <c r="C18" s="43"/>
      <c r="D18" s="43">
        <v>0</v>
      </c>
      <c r="E18" s="43"/>
      <c r="F18" s="43">
        <v>23523854</v>
      </c>
      <c r="G18" s="43"/>
      <c r="H18" s="43">
        <v>1187385</v>
      </c>
      <c r="I18" s="43">
        <v>47706841</v>
      </c>
      <c r="J18" s="43">
        <v>0</v>
      </c>
      <c r="K18" s="43"/>
      <c r="L18" s="43">
        <v>2928867</v>
      </c>
      <c r="M18" s="43">
        <v>75346947</v>
      </c>
    </row>
    <row r="19" spans="2:13" x14ac:dyDescent="0.25">
      <c r="B19" s="105">
        <v>2020</v>
      </c>
      <c r="C19" s="43"/>
      <c r="D19" s="43">
        <v>0</v>
      </c>
      <c r="E19" s="43"/>
      <c r="F19" s="43">
        <v>15959610</v>
      </c>
      <c r="G19" s="43"/>
      <c r="H19" s="43">
        <v>841885</v>
      </c>
      <c r="I19" s="43">
        <v>37819676</v>
      </c>
      <c r="J19" s="43">
        <v>0</v>
      </c>
      <c r="K19" s="43">
        <v>0</v>
      </c>
      <c r="L19" s="43">
        <v>2021421</v>
      </c>
      <c r="M19" s="43">
        <v>56642592</v>
      </c>
    </row>
    <row r="20" spans="2:13" x14ac:dyDescent="0.25">
      <c r="B20" s="105">
        <v>2021</v>
      </c>
      <c r="C20" s="43"/>
      <c r="D20" s="43"/>
      <c r="E20" s="43"/>
      <c r="F20" s="43">
        <v>156395</v>
      </c>
      <c r="G20" s="43"/>
      <c r="H20" s="43"/>
      <c r="I20" s="43">
        <v>5193171</v>
      </c>
      <c r="J20" s="43">
        <v>0</v>
      </c>
      <c r="K20" s="43"/>
      <c r="L20" s="43">
        <v>0</v>
      </c>
      <c r="M20" s="43">
        <v>5349566</v>
      </c>
    </row>
    <row r="21" spans="2:13" x14ac:dyDescent="0.25">
      <c r="B21" s="105" t="s">
        <v>89</v>
      </c>
      <c r="C21" s="43">
        <v>1237355</v>
      </c>
      <c r="D21" s="43">
        <v>0</v>
      </c>
      <c r="E21" s="43">
        <v>1441381</v>
      </c>
      <c r="F21" s="43">
        <v>464909441</v>
      </c>
      <c r="G21" s="43">
        <v>1542605</v>
      </c>
      <c r="H21" s="43">
        <v>52843407</v>
      </c>
      <c r="I21" s="43">
        <v>546155646.63999999</v>
      </c>
      <c r="J21" s="43">
        <v>0</v>
      </c>
      <c r="K21" s="43">
        <v>2331150</v>
      </c>
      <c r="L21" s="43">
        <v>7971447</v>
      </c>
      <c r="M21" s="43">
        <v>1078432432.6399999</v>
      </c>
    </row>
  </sheetData>
  <pageMargins left="0.7" right="0.7" top="0.75" bottom="0.75" header="0.3" footer="0.3"/>
  <pageSetup paperSize="9"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6"/>
  <sheetViews>
    <sheetView workbookViewId="0">
      <selection activeCell="G32" sqref="G32"/>
    </sheetView>
  </sheetViews>
  <sheetFormatPr defaultRowHeight="15" x14ac:dyDescent="0.25"/>
  <cols>
    <col min="4" max="4" width="17.7109375" bestFit="1" customWidth="1"/>
    <col min="5" max="5" width="11.5703125" bestFit="1" customWidth="1"/>
    <col min="6" max="6" width="18.28515625" bestFit="1" customWidth="1"/>
    <col min="7" max="7" width="10.28515625" bestFit="1" customWidth="1"/>
    <col min="8" max="8" width="11.7109375" bestFit="1" customWidth="1"/>
    <col min="9" max="9" width="14.28515625" bestFit="1" customWidth="1"/>
    <col min="10" max="10" width="20" bestFit="1" customWidth="1"/>
    <col min="11" max="12" width="13.140625" bestFit="1" customWidth="1"/>
    <col min="13" max="13" width="10.5703125" bestFit="1" customWidth="1"/>
  </cols>
  <sheetData>
    <row r="1" spans="2:12" x14ac:dyDescent="0.25">
      <c r="D1" t="s">
        <v>94</v>
      </c>
      <c r="E1" t="s">
        <v>95</v>
      </c>
      <c r="F1" t="s">
        <v>100</v>
      </c>
      <c r="G1" t="s">
        <v>103</v>
      </c>
      <c r="H1" t="s">
        <v>104</v>
      </c>
      <c r="I1" t="s">
        <v>107</v>
      </c>
      <c r="J1" t="s">
        <v>108</v>
      </c>
      <c r="K1" t="s">
        <v>109</v>
      </c>
    </row>
    <row r="2" spans="2:12" x14ac:dyDescent="0.25">
      <c r="B2" s="9" t="s">
        <v>79</v>
      </c>
      <c r="C2" s="9" t="s">
        <v>80</v>
      </c>
      <c r="D2" s="9" t="s">
        <v>19</v>
      </c>
      <c r="E2" s="10" t="s">
        <v>81</v>
      </c>
      <c r="F2" s="38" t="s">
        <v>99</v>
      </c>
      <c r="G2" s="38" t="s">
        <v>101</v>
      </c>
      <c r="H2" s="38" t="s">
        <v>102</v>
      </c>
      <c r="I2" s="38" t="s">
        <v>106</v>
      </c>
      <c r="J2" s="38" t="s">
        <v>105</v>
      </c>
      <c r="K2" s="42" t="s">
        <v>89</v>
      </c>
      <c r="L2" s="44" t="s">
        <v>110</v>
      </c>
    </row>
    <row r="3" spans="2:12" x14ac:dyDescent="0.25">
      <c r="B3" s="11" t="s">
        <v>82</v>
      </c>
      <c r="C3" s="12">
        <v>41456</v>
      </c>
      <c r="D3" s="39">
        <f>+AVERAGE(D6:D11)</f>
        <v>75166.92333333334</v>
      </c>
      <c r="E3" s="13">
        <f>+AVERAGE(E6:E11)</f>
        <v>2075165.736666667</v>
      </c>
      <c r="F3" s="40">
        <f t="shared" ref="F3:F26" si="0">SUM(D3:E3)</f>
        <v>2150332.66</v>
      </c>
      <c r="G3" s="39">
        <f>+AVERAGE(G6:G11)</f>
        <v>228983.87000000002</v>
      </c>
      <c r="H3" s="39">
        <f>+AVERAGE(H6:H11)</f>
        <v>3706484.0749999997</v>
      </c>
      <c r="I3" s="39">
        <f>+AVERAGE(I6:I11)</f>
        <v>7836.5883333333331</v>
      </c>
      <c r="J3" s="39">
        <f>+AVERAGE(J6:J11)</f>
        <v>995641.82666666678</v>
      </c>
      <c r="K3" s="40">
        <f t="shared" ref="K3:K26" si="1">SUM(F3:J3)</f>
        <v>7089279.0200000005</v>
      </c>
    </row>
    <row r="4" spans="2:12" x14ac:dyDescent="0.25">
      <c r="B4" s="11" t="s">
        <v>82</v>
      </c>
      <c r="C4" s="12">
        <v>41487</v>
      </c>
      <c r="D4" s="39">
        <f>+D3</f>
        <v>75166.92333333334</v>
      </c>
      <c r="E4" s="13">
        <f>+E3</f>
        <v>2075165.736666667</v>
      </c>
      <c r="F4" s="40">
        <f t="shared" si="0"/>
        <v>2150332.66</v>
      </c>
      <c r="G4" s="39">
        <f t="shared" ref="G4:J5" si="2">+G3</f>
        <v>228983.87000000002</v>
      </c>
      <c r="H4" s="39">
        <f t="shared" si="2"/>
        <v>3706484.0749999997</v>
      </c>
      <c r="I4" s="39">
        <f t="shared" si="2"/>
        <v>7836.5883333333331</v>
      </c>
      <c r="J4" s="39">
        <f t="shared" si="2"/>
        <v>995641.82666666678</v>
      </c>
      <c r="K4" s="40">
        <f t="shared" si="1"/>
        <v>7089279.0200000005</v>
      </c>
    </row>
    <row r="5" spans="2:12" x14ac:dyDescent="0.25">
      <c r="B5" s="11" t="s">
        <v>82</v>
      </c>
      <c r="C5" s="12">
        <v>41518</v>
      </c>
      <c r="D5" s="39">
        <f>+D4</f>
        <v>75166.92333333334</v>
      </c>
      <c r="E5" s="13">
        <f>+E4</f>
        <v>2075165.736666667</v>
      </c>
      <c r="F5" s="40">
        <f t="shared" si="0"/>
        <v>2150332.66</v>
      </c>
      <c r="G5" s="39">
        <f t="shared" si="2"/>
        <v>228983.87000000002</v>
      </c>
      <c r="H5" s="39">
        <f t="shared" si="2"/>
        <v>3706484.0749999997</v>
      </c>
      <c r="I5" s="39">
        <f t="shared" si="2"/>
        <v>7836.5883333333331</v>
      </c>
      <c r="J5" s="39">
        <f t="shared" si="2"/>
        <v>995641.82666666678</v>
      </c>
      <c r="K5" s="40">
        <f t="shared" si="1"/>
        <v>7089279.0200000005</v>
      </c>
    </row>
    <row r="6" spans="2:12" x14ac:dyDescent="0.25">
      <c r="B6" s="11" t="s">
        <v>82</v>
      </c>
      <c r="C6" s="12">
        <v>41548</v>
      </c>
      <c r="D6" s="40">
        <v>75368.639999999999</v>
      </c>
      <c r="E6" s="14">
        <v>2025763.41</v>
      </c>
      <c r="F6" s="40">
        <f t="shared" si="0"/>
        <v>2101132.0499999998</v>
      </c>
      <c r="G6" s="40">
        <v>152996.84</v>
      </c>
      <c r="H6" s="40">
        <v>3589211.54</v>
      </c>
      <c r="I6" s="40">
        <v>317.25</v>
      </c>
      <c r="J6" s="40">
        <v>861401.8</v>
      </c>
      <c r="K6" s="40">
        <f t="shared" si="1"/>
        <v>6705059.4799999995</v>
      </c>
    </row>
    <row r="7" spans="2:12" x14ac:dyDescent="0.25">
      <c r="B7" s="11" t="s">
        <v>82</v>
      </c>
      <c r="C7" s="12">
        <v>41579</v>
      </c>
      <c r="D7" s="40">
        <v>73131.070000000007</v>
      </c>
      <c r="E7" s="14">
        <v>2033013.42</v>
      </c>
      <c r="F7" s="40">
        <f t="shared" si="0"/>
        <v>2106144.4899999998</v>
      </c>
      <c r="G7" s="40">
        <v>337293.89</v>
      </c>
      <c r="H7" s="40">
        <v>3377824.44</v>
      </c>
      <c r="I7" s="40">
        <v>41052.39</v>
      </c>
      <c r="J7" s="40">
        <v>919477.29</v>
      </c>
      <c r="K7" s="40">
        <f t="shared" si="1"/>
        <v>6781792.5</v>
      </c>
    </row>
    <row r="8" spans="2:12" x14ac:dyDescent="0.25">
      <c r="B8" s="11" t="s">
        <v>82</v>
      </c>
      <c r="C8" s="12">
        <v>41609</v>
      </c>
      <c r="D8" s="40">
        <v>75951.179999999993</v>
      </c>
      <c r="E8" s="14">
        <v>2163038.81</v>
      </c>
      <c r="F8" s="40">
        <f t="shared" si="0"/>
        <v>2238989.9900000002</v>
      </c>
      <c r="G8" s="40">
        <v>157675.01999999999</v>
      </c>
      <c r="H8" s="40">
        <v>4139532.7</v>
      </c>
      <c r="I8" s="40">
        <v>3442.81</v>
      </c>
      <c r="J8" s="40">
        <v>1035620.68</v>
      </c>
      <c r="K8" s="40">
        <f t="shared" si="1"/>
        <v>7575261.2000000002</v>
      </c>
    </row>
    <row r="9" spans="2:12" x14ac:dyDescent="0.25">
      <c r="B9" s="11" t="s">
        <v>82</v>
      </c>
      <c r="C9" s="12">
        <v>41640</v>
      </c>
      <c r="D9" s="40">
        <v>78095.929999999993</v>
      </c>
      <c r="E9" s="14">
        <v>2184750.0800000001</v>
      </c>
      <c r="F9" s="40">
        <f t="shared" si="0"/>
        <v>2262846.0100000002</v>
      </c>
      <c r="G9" s="40">
        <v>111538.14</v>
      </c>
      <c r="H9" s="40">
        <v>3621447.48</v>
      </c>
      <c r="I9" s="40">
        <v>1492.98</v>
      </c>
      <c r="J9" s="40">
        <v>1061500.5900000001</v>
      </c>
      <c r="K9" s="40">
        <f t="shared" si="1"/>
        <v>7058825.2000000011</v>
      </c>
    </row>
    <row r="10" spans="2:12" x14ac:dyDescent="0.25">
      <c r="B10" s="11" t="s">
        <v>82</v>
      </c>
      <c r="C10" s="12">
        <v>41671</v>
      </c>
      <c r="D10" s="40">
        <v>72664.570000000007</v>
      </c>
      <c r="E10" s="14">
        <v>1932090.88</v>
      </c>
      <c r="F10" s="40">
        <f t="shared" si="0"/>
        <v>2004755.45</v>
      </c>
      <c r="G10" s="40">
        <v>306141.5</v>
      </c>
      <c r="H10" s="40">
        <v>3848415.9</v>
      </c>
      <c r="I10" s="40">
        <v>630.11</v>
      </c>
      <c r="J10" s="40">
        <v>941677.16</v>
      </c>
      <c r="K10" s="40">
        <f t="shared" si="1"/>
        <v>7101620.1200000001</v>
      </c>
    </row>
    <row r="11" spans="2:12" x14ac:dyDescent="0.25">
      <c r="B11" s="11" t="s">
        <v>82</v>
      </c>
      <c r="C11" s="12">
        <v>41699</v>
      </c>
      <c r="D11" s="40">
        <v>75790.149999999994</v>
      </c>
      <c r="E11" s="14">
        <v>2112337.8199999998</v>
      </c>
      <c r="F11" s="40">
        <f t="shared" si="0"/>
        <v>2188127.9699999997</v>
      </c>
      <c r="G11" s="40">
        <v>308257.83</v>
      </c>
      <c r="H11" s="40">
        <v>3662472.39</v>
      </c>
      <c r="I11" s="40">
        <v>83.99</v>
      </c>
      <c r="J11" s="40">
        <v>1154173.4399999999</v>
      </c>
      <c r="K11" s="40">
        <f t="shared" si="1"/>
        <v>7313115.6199999992</v>
      </c>
    </row>
    <row r="12" spans="2:12" x14ac:dyDescent="0.25">
      <c r="B12" s="11" t="s">
        <v>82</v>
      </c>
      <c r="C12" s="12">
        <v>41730</v>
      </c>
      <c r="D12" s="39">
        <f>+D13</f>
        <v>71365.39</v>
      </c>
      <c r="E12" s="13">
        <f>+E13</f>
        <v>2016119.9</v>
      </c>
      <c r="F12" s="40">
        <f t="shared" si="0"/>
        <v>2087485.2899999998</v>
      </c>
      <c r="G12" s="39">
        <f>+G13</f>
        <v>301596.59000000003</v>
      </c>
      <c r="H12" s="39">
        <f>+H13</f>
        <v>3419319.87</v>
      </c>
      <c r="I12" s="39">
        <f>+I13</f>
        <v>12.68</v>
      </c>
      <c r="J12" s="39">
        <f>+J13</f>
        <v>965856.28</v>
      </c>
      <c r="K12" s="40">
        <f t="shared" si="1"/>
        <v>6774270.71</v>
      </c>
    </row>
    <row r="13" spans="2:12" x14ac:dyDescent="0.25">
      <c r="B13" s="11" t="s">
        <v>82</v>
      </c>
      <c r="C13" s="12">
        <v>41760</v>
      </c>
      <c r="D13" s="40">
        <v>71365.39</v>
      </c>
      <c r="E13" s="14">
        <v>2016119.9</v>
      </c>
      <c r="F13" s="40">
        <f t="shared" si="0"/>
        <v>2087485.2899999998</v>
      </c>
      <c r="G13" s="40">
        <v>301596.59000000003</v>
      </c>
      <c r="H13" s="40">
        <v>3419319.87</v>
      </c>
      <c r="I13" s="40">
        <v>12.68</v>
      </c>
      <c r="J13" s="40">
        <v>965856.28</v>
      </c>
      <c r="K13" s="40">
        <f t="shared" si="1"/>
        <v>6774270.71</v>
      </c>
    </row>
    <row r="14" spans="2:12" x14ac:dyDescent="0.25">
      <c r="B14" s="11" t="s">
        <v>82</v>
      </c>
      <c r="C14" s="12">
        <v>41791</v>
      </c>
      <c r="D14" s="40">
        <v>69699.86</v>
      </c>
      <c r="E14" s="14">
        <v>2035137.16</v>
      </c>
      <c r="F14" s="40">
        <f t="shared" si="0"/>
        <v>2104837.02</v>
      </c>
      <c r="G14" s="40">
        <v>327954.57</v>
      </c>
      <c r="H14" s="40">
        <v>3925046.22</v>
      </c>
      <c r="I14" s="40">
        <v>2.13</v>
      </c>
      <c r="J14" s="40">
        <v>992023.24</v>
      </c>
      <c r="K14" s="40">
        <f t="shared" si="1"/>
        <v>7349863.1800000006</v>
      </c>
    </row>
    <row r="15" spans="2:12" x14ac:dyDescent="0.25">
      <c r="B15" s="15" t="s">
        <v>83</v>
      </c>
      <c r="C15" s="16">
        <v>41821</v>
      </c>
      <c r="D15" s="41">
        <v>69436.14</v>
      </c>
      <c r="E15" s="17">
        <v>2102822.7999999998</v>
      </c>
      <c r="F15" s="41">
        <f t="shared" si="0"/>
        <v>2172258.94</v>
      </c>
      <c r="G15" s="41">
        <v>201159.36</v>
      </c>
      <c r="H15" s="41">
        <v>3977280.35</v>
      </c>
      <c r="I15" s="41">
        <v>4.2699999999999996</v>
      </c>
      <c r="J15" s="41">
        <v>1013624.13</v>
      </c>
      <c r="K15" s="41">
        <f t="shared" si="1"/>
        <v>7364327.0499999998</v>
      </c>
    </row>
    <row r="16" spans="2:12" x14ac:dyDescent="0.25">
      <c r="B16" s="15" t="s">
        <v>83</v>
      </c>
      <c r="C16" s="16">
        <v>41852</v>
      </c>
      <c r="D16" s="41">
        <v>72335.72</v>
      </c>
      <c r="E16" s="17">
        <v>2227998.65</v>
      </c>
      <c r="F16" s="41">
        <f t="shared" si="0"/>
        <v>2300334.37</v>
      </c>
      <c r="G16" s="41">
        <v>293526.93</v>
      </c>
      <c r="H16" s="41">
        <v>4152682.13</v>
      </c>
      <c r="I16" s="41">
        <v>6.79</v>
      </c>
      <c r="J16" s="41">
        <v>1064114.6499999999</v>
      </c>
      <c r="K16" s="41">
        <f t="shared" si="1"/>
        <v>7810664.8699999992</v>
      </c>
    </row>
    <row r="17" spans="1:13" x14ac:dyDescent="0.25">
      <c r="B17" s="15" t="s">
        <v>83</v>
      </c>
      <c r="C17" s="16">
        <v>41883</v>
      </c>
      <c r="D17" s="41">
        <v>70517.7</v>
      </c>
      <c r="E17" s="17">
        <v>2077996.82</v>
      </c>
      <c r="F17" s="41">
        <f t="shared" si="0"/>
        <v>2148514.52</v>
      </c>
      <c r="G17" s="41">
        <v>275276.21000000002</v>
      </c>
      <c r="H17" s="41">
        <v>4187873.81</v>
      </c>
      <c r="I17" s="41">
        <v>0.27</v>
      </c>
      <c r="J17" s="41">
        <v>1104517.51</v>
      </c>
      <c r="K17" s="41">
        <f t="shared" si="1"/>
        <v>7716182.3199999994</v>
      </c>
    </row>
    <row r="18" spans="1:13" x14ac:dyDescent="0.25">
      <c r="B18" s="15" t="s">
        <v>83</v>
      </c>
      <c r="C18" s="16">
        <v>41913</v>
      </c>
      <c r="D18" s="41">
        <v>70658.14</v>
      </c>
      <c r="E18" s="17">
        <v>2139047.7200000002</v>
      </c>
      <c r="F18" s="41">
        <f t="shared" si="0"/>
        <v>2209705.8600000003</v>
      </c>
      <c r="G18" s="41">
        <v>239981.75</v>
      </c>
      <c r="H18" s="41">
        <v>5086123.1399999997</v>
      </c>
      <c r="I18" s="41">
        <v>58372.55</v>
      </c>
      <c r="J18" s="41">
        <v>983177.94</v>
      </c>
      <c r="K18" s="41">
        <f t="shared" si="1"/>
        <v>8577361.2400000002</v>
      </c>
    </row>
    <row r="19" spans="1:13" x14ac:dyDescent="0.25">
      <c r="B19" s="15" t="s">
        <v>83</v>
      </c>
      <c r="C19" s="16">
        <v>41944</v>
      </c>
      <c r="D19" s="41">
        <v>69235.850000000006</v>
      </c>
      <c r="E19" s="17">
        <v>2171853.59</v>
      </c>
      <c r="F19" s="41">
        <f t="shared" si="0"/>
        <v>2241089.44</v>
      </c>
      <c r="G19" s="41">
        <v>267965.57</v>
      </c>
      <c r="H19" s="41">
        <v>3875123.52</v>
      </c>
      <c r="I19" s="41">
        <v>190.5</v>
      </c>
      <c r="J19" s="41">
        <v>1032995.69</v>
      </c>
      <c r="K19" s="41">
        <f t="shared" si="1"/>
        <v>7417364.7199999988</v>
      </c>
    </row>
    <row r="20" spans="1:13" x14ac:dyDescent="0.25">
      <c r="B20" s="15" t="s">
        <v>83</v>
      </c>
      <c r="C20" s="16">
        <v>41974</v>
      </c>
      <c r="D20" s="41">
        <v>71877.14</v>
      </c>
      <c r="E20" s="17">
        <v>2244637.7200000002</v>
      </c>
      <c r="F20" s="41">
        <f t="shared" si="0"/>
        <v>2316514.8600000003</v>
      </c>
      <c r="G20" s="41">
        <v>192635.71</v>
      </c>
      <c r="H20" s="41">
        <v>3825329.45</v>
      </c>
      <c r="I20" s="41">
        <v>131.05000000000001</v>
      </c>
      <c r="J20" s="41">
        <v>1103782.94</v>
      </c>
      <c r="K20" s="41">
        <f t="shared" si="1"/>
        <v>7438394.0099999998</v>
      </c>
    </row>
    <row r="21" spans="1:13" x14ac:dyDescent="0.25">
      <c r="B21" s="15" t="s">
        <v>83</v>
      </c>
      <c r="C21" s="16">
        <v>42005</v>
      </c>
      <c r="D21" s="41">
        <v>74346.5</v>
      </c>
      <c r="E21" s="17">
        <v>2358763.7200000002</v>
      </c>
      <c r="F21" s="41">
        <f t="shared" si="0"/>
        <v>2433110.2200000002</v>
      </c>
      <c r="G21" s="41">
        <v>221632.2</v>
      </c>
      <c r="H21" s="41">
        <v>3574867.9</v>
      </c>
      <c r="I21" s="41">
        <v>27.54</v>
      </c>
      <c r="J21" s="41">
        <v>1169282.29</v>
      </c>
      <c r="K21" s="41">
        <f t="shared" si="1"/>
        <v>7398920.1500000004</v>
      </c>
    </row>
    <row r="22" spans="1:13" x14ac:dyDescent="0.25">
      <c r="B22" s="15" t="s">
        <v>83</v>
      </c>
      <c r="C22" s="16">
        <v>42036</v>
      </c>
      <c r="D22" s="41">
        <v>68888.62</v>
      </c>
      <c r="E22" s="17">
        <v>2009257.05</v>
      </c>
      <c r="F22" s="41">
        <f t="shared" si="0"/>
        <v>2078145.67</v>
      </c>
      <c r="G22" s="41">
        <v>218417.54</v>
      </c>
      <c r="H22" s="41">
        <v>3404273.25</v>
      </c>
      <c r="I22" s="41">
        <v>235380.96</v>
      </c>
      <c r="J22" s="41">
        <v>925836.54</v>
      </c>
      <c r="K22" s="41">
        <f t="shared" si="1"/>
        <v>6862053.96</v>
      </c>
    </row>
    <row r="23" spans="1:13" x14ac:dyDescent="0.25">
      <c r="B23" s="15" t="s">
        <v>83</v>
      </c>
      <c r="C23" s="16">
        <v>42064</v>
      </c>
      <c r="D23" s="41">
        <v>74705.509999999995</v>
      </c>
      <c r="E23" s="17">
        <v>2197478.87</v>
      </c>
      <c r="F23" s="41">
        <f t="shared" si="0"/>
        <v>2272184.38</v>
      </c>
      <c r="G23" s="41">
        <v>267846.38</v>
      </c>
      <c r="H23" s="41">
        <v>3782323.07</v>
      </c>
      <c r="I23" s="41">
        <v>80968.56</v>
      </c>
      <c r="J23" s="41">
        <v>1226856.1499999999</v>
      </c>
      <c r="K23" s="41">
        <f t="shared" si="1"/>
        <v>7630178.5399999991</v>
      </c>
    </row>
    <row r="24" spans="1:13" x14ac:dyDescent="0.25">
      <c r="B24" s="15" t="s">
        <v>83</v>
      </c>
      <c r="C24" s="16">
        <v>42095</v>
      </c>
      <c r="D24" s="41">
        <v>67390.13</v>
      </c>
      <c r="E24" s="17">
        <v>2065600.54</v>
      </c>
      <c r="F24" s="41">
        <f t="shared" si="0"/>
        <v>2132990.67</v>
      </c>
      <c r="G24" s="41">
        <v>158946.06</v>
      </c>
      <c r="H24" s="41">
        <v>3743780.96</v>
      </c>
      <c r="I24" s="41">
        <v>500.57</v>
      </c>
      <c r="J24" s="41">
        <v>967144.52</v>
      </c>
      <c r="K24" s="41">
        <f t="shared" si="1"/>
        <v>7003362.7799999993</v>
      </c>
    </row>
    <row r="25" spans="1:13" x14ac:dyDescent="0.25">
      <c r="B25" s="15" t="s">
        <v>83</v>
      </c>
      <c r="C25" s="16">
        <v>42125</v>
      </c>
      <c r="D25" s="41">
        <v>71793.97</v>
      </c>
      <c r="E25" s="17">
        <v>2187144.7799999998</v>
      </c>
      <c r="F25" s="41">
        <f t="shared" si="0"/>
        <v>2258938.75</v>
      </c>
      <c r="G25" s="41">
        <v>230972.3</v>
      </c>
      <c r="H25" s="41">
        <v>3661101.61</v>
      </c>
      <c r="I25" s="41">
        <v>278.18</v>
      </c>
      <c r="J25" s="41">
        <v>1046733.78</v>
      </c>
      <c r="K25" s="41">
        <f t="shared" si="1"/>
        <v>7198024.6200000001</v>
      </c>
      <c r="L25" s="64">
        <v>72290.16</v>
      </c>
      <c r="M25" s="43">
        <f>L25+K25</f>
        <v>7270314.7800000003</v>
      </c>
    </row>
    <row r="26" spans="1:13" x14ac:dyDescent="0.25">
      <c r="B26" s="15" t="s">
        <v>83</v>
      </c>
      <c r="C26" s="16">
        <v>42156</v>
      </c>
      <c r="D26" s="41">
        <v>68501.77</v>
      </c>
      <c r="E26" s="17">
        <v>2106957.16</v>
      </c>
      <c r="F26" s="41">
        <f t="shared" si="0"/>
        <v>2175458.9300000002</v>
      </c>
      <c r="G26" s="41">
        <v>217985.58</v>
      </c>
      <c r="H26" s="41">
        <v>3439831.91</v>
      </c>
      <c r="I26" s="41">
        <v>139.1</v>
      </c>
      <c r="J26" s="41">
        <v>1001106.27</v>
      </c>
      <c r="K26" s="41">
        <f t="shared" si="1"/>
        <v>6834521.7899999991</v>
      </c>
      <c r="L26" s="64">
        <v>77754.45</v>
      </c>
      <c r="M26" s="43">
        <f>L26+K26</f>
        <v>6912276.2399999993</v>
      </c>
    </row>
    <row r="29" spans="1:13" x14ac:dyDescent="0.25">
      <c r="A29" t="s">
        <v>116</v>
      </c>
      <c r="B29" s="48" t="s">
        <v>82</v>
      </c>
      <c r="D29" s="43">
        <f t="shared" ref="D29:K30" si="3">SUMIF($B$3:$B$26,$B29,D$3:D$26)</f>
        <v>888932.95000000019</v>
      </c>
      <c r="E29" s="43">
        <f t="shared" si="3"/>
        <v>24743868.59</v>
      </c>
      <c r="F29" s="43">
        <f t="shared" si="3"/>
        <v>25632801.539999999</v>
      </c>
      <c r="G29" s="43">
        <f t="shared" si="3"/>
        <v>2992002.5799999996</v>
      </c>
      <c r="H29" s="43">
        <f t="shared" si="3"/>
        <v>44122042.634999998</v>
      </c>
      <c r="I29" s="43">
        <f t="shared" si="3"/>
        <v>70556.784999999989</v>
      </c>
      <c r="J29" s="43">
        <f t="shared" si="3"/>
        <v>11884512.239999998</v>
      </c>
      <c r="K29" s="43">
        <f t="shared" si="3"/>
        <v>84701915.780000001</v>
      </c>
      <c r="L29" s="43"/>
    </row>
    <row r="30" spans="1:13" s="55" customFormat="1" x14ac:dyDescent="0.25">
      <c r="B30" s="45" t="s">
        <v>83</v>
      </c>
      <c r="D30" s="43">
        <f t="shared" si="3"/>
        <v>849687.19000000006</v>
      </c>
      <c r="E30" s="43">
        <f t="shared" si="3"/>
        <v>25889559.420000002</v>
      </c>
      <c r="F30" s="43">
        <f t="shared" si="3"/>
        <v>26739246.609999999</v>
      </c>
      <c r="G30" s="43">
        <f t="shared" si="3"/>
        <v>2786345.59</v>
      </c>
      <c r="H30" s="43">
        <f t="shared" si="3"/>
        <v>46710591.099999994</v>
      </c>
      <c r="I30" s="43">
        <f t="shared" si="3"/>
        <v>376000.33999999997</v>
      </c>
      <c r="J30" s="43">
        <f t="shared" si="3"/>
        <v>12639172.409999998</v>
      </c>
      <c r="K30" s="43">
        <f>SUMIF($B$3:$B$26,$B30,K$3:K$26)</f>
        <v>89251356.049999982</v>
      </c>
    </row>
    <row r="32" spans="1:13" x14ac:dyDescent="0.25">
      <c r="A32" t="s">
        <v>115</v>
      </c>
      <c r="B32" s="77" t="s">
        <v>82</v>
      </c>
      <c r="D32" s="43"/>
      <c r="E32" s="43">
        <f>Summary!H4</f>
        <v>24743868.59</v>
      </c>
      <c r="F32" s="43">
        <f>SUM(D32:E32)</f>
        <v>24743868.59</v>
      </c>
      <c r="G32" s="43"/>
      <c r="H32" s="43"/>
      <c r="I32" s="43"/>
      <c r="J32" s="43"/>
      <c r="K32" s="43">
        <f>Summary!K4</f>
        <v>83919628.959999993</v>
      </c>
    </row>
    <row r="33" spans="1:11" x14ac:dyDescent="0.25">
      <c r="B33" s="77" t="s">
        <v>83</v>
      </c>
      <c r="D33" s="43"/>
      <c r="E33" s="43">
        <f>Summary!H5</f>
        <v>25889559.420000002</v>
      </c>
      <c r="F33" s="43">
        <f>SUM(D33:E33)</f>
        <v>25889559.420000002</v>
      </c>
      <c r="G33" s="43"/>
      <c r="H33" s="43"/>
      <c r="I33" s="43"/>
      <c r="J33" s="43"/>
      <c r="K33" s="43">
        <f>Summary!K5</f>
        <v>89366210.780000001</v>
      </c>
    </row>
    <row r="35" spans="1:11" x14ac:dyDescent="0.25">
      <c r="A35" t="s">
        <v>118</v>
      </c>
      <c r="B35" s="77" t="s">
        <v>82</v>
      </c>
      <c r="D35" s="43">
        <f t="shared" ref="D35:K36" si="4">D29-D32</f>
        <v>888932.95000000019</v>
      </c>
      <c r="E35" s="43">
        <f t="shared" si="4"/>
        <v>0</v>
      </c>
      <c r="F35" s="43">
        <f t="shared" si="4"/>
        <v>888932.94999999925</v>
      </c>
      <c r="G35" s="43">
        <f t="shared" si="4"/>
        <v>2992002.5799999996</v>
      </c>
      <c r="H35" s="43">
        <f t="shared" si="4"/>
        <v>44122042.634999998</v>
      </c>
      <c r="I35" s="43">
        <f t="shared" si="4"/>
        <v>70556.784999999989</v>
      </c>
      <c r="J35" s="43">
        <f t="shared" si="4"/>
        <v>11884512.239999998</v>
      </c>
      <c r="K35" s="43">
        <f t="shared" si="4"/>
        <v>782286.82000000775</v>
      </c>
    </row>
    <row r="36" spans="1:11" x14ac:dyDescent="0.25">
      <c r="B36" s="77" t="s">
        <v>83</v>
      </c>
      <c r="D36" s="43">
        <f t="shared" si="4"/>
        <v>849687.19000000006</v>
      </c>
      <c r="E36" s="43">
        <f t="shared" si="4"/>
        <v>0</v>
      </c>
      <c r="F36" s="43">
        <f t="shared" si="4"/>
        <v>849687.18999999762</v>
      </c>
      <c r="G36" s="43">
        <f t="shared" si="4"/>
        <v>2786345.59</v>
      </c>
      <c r="H36" s="43">
        <f t="shared" si="4"/>
        <v>46710591.099999994</v>
      </c>
      <c r="I36" s="43">
        <f t="shared" si="4"/>
        <v>376000.33999999997</v>
      </c>
      <c r="J36" s="43">
        <f t="shared" si="4"/>
        <v>12639172.409999998</v>
      </c>
      <c r="K36" s="43">
        <f t="shared" si="4"/>
        <v>-114854.73000001907</v>
      </c>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M42"/>
  <sheetViews>
    <sheetView workbookViewId="0">
      <selection activeCell="G32" sqref="G32"/>
    </sheetView>
  </sheetViews>
  <sheetFormatPr defaultColWidth="9.140625" defaultRowHeight="15" x14ac:dyDescent="0.25"/>
  <cols>
    <col min="1" max="1" width="11.140625" style="59" bestFit="1" customWidth="1"/>
    <col min="2" max="2" width="19.42578125" style="60" bestFit="1" customWidth="1"/>
    <col min="3" max="3" width="20.85546875" style="59" bestFit="1" customWidth="1"/>
    <col min="4" max="4" width="17" style="59" bestFit="1" customWidth="1"/>
    <col min="5" max="5" width="19.85546875" style="59" bestFit="1" customWidth="1"/>
    <col min="6" max="6" width="19.42578125" style="59" bestFit="1" customWidth="1"/>
    <col min="7" max="7" width="14.28515625" style="59" bestFit="1" customWidth="1"/>
    <col min="8" max="8" width="17.5703125" style="59" bestFit="1" customWidth="1"/>
    <col min="9" max="9" width="25.28515625" style="59" bestFit="1" customWidth="1"/>
    <col min="10" max="10" width="18.7109375" style="59" bestFit="1" customWidth="1"/>
    <col min="11" max="11" width="21" style="59" bestFit="1" customWidth="1"/>
    <col min="12" max="12" width="15.42578125" style="59" bestFit="1" customWidth="1"/>
    <col min="13" max="16384" width="9.140625" style="59"/>
  </cols>
  <sheetData>
    <row r="2" spans="1:13" x14ac:dyDescent="0.25">
      <c r="A2" s="63"/>
    </row>
    <row r="3" spans="1:13" x14ac:dyDescent="0.25">
      <c r="A3" s="81"/>
      <c r="B3" s="19" t="s">
        <v>88</v>
      </c>
      <c r="C3" s="19" t="s">
        <v>90</v>
      </c>
      <c r="D3" s="55" t="s">
        <v>124</v>
      </c>
      <c r="E3" s="55" t="s">
        <v>120</v>
      </c>
      <c r="F3" s="55" t="s">
        <v>121</v>
      </c>
      <c r="G3" s="55" t="s">
        <v>122</v>
      </c>
      <c r="H3" s="55" t="s">
        <v>123</v>
      </c>
      <c r="I3" s="55" t="s">
        <v>125</v>
      </c>
      <c r="J3" s="55" t="s">
        <v>126</v>
      </c>
      <c r="K3" s="55" t="s">
        <v>127</v>
      </c>
      <c r="L3" s="55" t="s">
        <v>128</v>
      </c>
      <c r="M3" s="35"/>
    </row>
    <row r="4" spans="1:13" x14ac:dyDescent="0.25">
      <c r="B4" s="20" t="s">
        <v>82</v>
      </c>
      <c r="C4" s="21">
        <v>24743868.59</v>
      </c>
      <c r="D4" s="21"/>
      <c r="E4" s="21">
        <v>888932.95000000019</v>
      </c>
      <c r="F4" s="21">
        <v>2992002.5799999996</v>
      </c>
      <c r="G4" s="21">
        <v>44122042.634999998</v>
      </c>
      <c r="H4" s="21">
        <v>70556.784999999989</v>
      </c>
      <c r="I4" s="21"/>
      <c r="J4" s="21"/>
      <c r="K4" s="21"/>
      <c r="L4" s="21"/>
    </row>
    <row r="5" spans="1:13" x14ac:dyDescent="0.25">
      <c r="B5" s="20" t="s">
        <v>83</v>
      </c>
      <c r="C5" s="21">
        <v>25889559.420000002</v>
      </c>
      <c r="D5" s="21"/>
      <c r="E5" s="21">
        <v>849687.19000000006</v>
      </c>
      <c r="F5" s="21">
        <v>2786345.59</v>
      </c>
      <c r="G5" s="21">
        <v>46710591.099999994</v>
      </c>
      <c r="H5" s="21">
        <v>376000.33999999997</v>
      </c>
      <c r="I5" s="21"/>
      <c r="J5" s="21">
        <v>150044.60999999999</v>
      </c>
      <c r="K5" s="21"/>
      <c r="L5" s="21"/>
    </row>
    <row r="6" spans="1:13" x14ac:dyDescent="0.25">
      <c r="B6" s="20" t="s">
        <v>84</v>
      </c>
      <c r="C6" s="21">
        <v>25141504.650000002</v>
      </c>
      <c r="D6" s="21"/>
      <c r="E6" s="21">
        <v>819669.81000000017</v>
      </c>
      <c r="F6" s="21">
        <v>2986128.7900000005</v>
      </c>
      <c r="G6" s="21">
        <v>46065714.960000008</v>
      </c>
      <c r="H6" s="21">
        <v>1464424.1600000001</v>
      </c>
      <c r="I6" s="21">
        <v>0</v>
      </c>
      <c r="J6" s="21">
        <v>631177.99</v>
      </c>
      <c r="K6" s="21"/>
      <c r="L6" s="21">
        <v>12625383.42</v>
      </c>
    </row>
    <row r="7" spans="1:13" x14ac:dyDescent="0.25">
      <c r="B7" s="20" t="s">
        <v>85</v>
      </c>
      <c r="C7" s="21">
        <v>22857874.880000003</v>
      </c>
      <c r="D7" s="21"/>
      <c r="E7" s="21">
        <v>821772.76</v>
      </c>
      <c r="F7" s="21">
        <v>2553433.17</v>
      </c>
      <c r="G7" s="21">
        <v>52378458.169999994</v>
      </c>
      <c r="H7" s="21">
        <v>1504659.17</v>
      </c>
      <c r="I7" s="21">
        <v>272588.11</v>
      </c>
      <c r="J7" s="21">
        <v>1023253.4699999999</v>
      </c>
      <c r="K7" s="21"/>
      <c r="L7" s="21">
        <v>11222029.199999999</v>
      </c>
    </row>
    <row r="8" spans="1:13" x14ac:dyDescent="0.25">
      <c r="B8" s="20" t="s">
        <v>86</v>
      </c>
      <c r="C8" s="21">
        <v>22650779.199999999</v>
      </c>
      <c r="D8" s="21">
        <v>0.04</v>
      </c>
      <c r="E8" s="21">
        <v>759547.15999999992</v>
      </c>
      <c r="F8" s="21">
        <v>1427504.9999999998</v>
      </c>
      <c r="G8" s="21">
        <v>51975553.07</v>
      </c>
      <c r="H8" s="21">
        <v>1177060.4199999997</v>
      </c>
      <c r="I8" s="21">
        <v>2487372.75</v>
      </c>
      <c r="J8" s="21">
        <v>623242.80000000005</v>
      </c>
      <c r="K8" s="21">
        <v>301555</v>
      </c>
      <c r="L8" s="21">
        <v>187540</v>
      </c>
    </row>
    <row r="9" spans="1:13" x14ac:dyDescent="0.25">
      <c r="B9" s="20" t="s">
        <v>87</v>
      </c>
      <c r="C9" s="21">
        <v>22619373.930000003</v>
      </c>
      <c r="D9" s="21">
        <v>58229.979999999989</v>
      </c>
      <c r="E9" s="21">
        <v>783273.75</v>
      </c>
      <c r="F9" s="21">
        <v>1125856.94</v>
      </c>
      <c r="G9" s="21">
        <v>47592059.719999999</v>
      </c>
      <c r="H9" s="21">
        <v>418367.24</v>
      </c>
      <c r="I9" s="21">
        <v>2927373.8799999994</v>
      </c>
      <c r="J9" s="21">
        <v>278031.09000000003</v>
      </c>
      <c r="K9" s="21">
        <v>549340</v>
      </c>
      <c r="L9" s="21"/>
    </row>
    <row r="10" spans="1:13" x14ac:dyDescent="0.25">
      <c r="B10" s="20" t="s">
        <v>89</v>
      </c>
      <c r="C10" s="21">
        <v>143902960.67000002</v>
      </c>
      <c r="D10" s="21">
        <v>58230.01999999999</v>
      </c>
      <c r="E10" s="21">
        <v>4922883.62</v>
      </c>
      <c r="F10" s="21">
        <v>13871272.07</v>
      </c>
      <c r="G10" s="21">
        <v>288844419.65499997</v>
      </c>
      <c r="H10" s="21">
        <v>5011068.1150000002</v>
      </c>
      <c r="I10" s="21">
        <v>5687334.7399999993</v>
      </c>
      <c r="J10" s="21">
        <v>2705749.96</v>
      </c>
      <c r="K10" s="21">
        <v>850895</v>
      </c>
      <c r="L10" s="21">
        <v>24034952.619999997</v>
      </c>
    </row>
    <row r="11" spans="1:13" x14ac:dyDescent="0.25">
      <c r="B11" s="65"/>
      <c r="C11" s="62"/>
      <c r="E11" s="62"/>
      <c r="G11" s="62"/>
      <c r="H11" s="62"/>
      <c r="I11" s="62"/>
      <c r="J11" s="62"/>
      <c r="L11" s="62"/>
    </row>
    <row r="12" spans="1:13" x14ac:dyDescent="0.25">
      <c r="B12" s="65"/>
      <c r="E12" s="62"/>
      <c r="G12" s="62"/>
      <c r="H12" s="62"/>
      <c r="I12" s="62"/>
      <c r="L12" s="62"/>
    </row>
    <row r="13" spans="1:13" x14ac:dyDescent="0.25">
      <c r="B13" s="65"/>
      <c r="E13" s="62"/>
      <c r="G13" s="62"/>
      <c r="H13" s="62"/>
      <c r="I13" s="62"/>
      <c r="L13" s="62"/>
    </row>
    <row r="14" spans="1:13" x14ac:dyDescent="0.25">
      <c r="B14" s="65"/>
      <c r="E14" s="62"/>
      <c r="G14" s="62"/>
      <c r="H14" s="62"/>
      <c r="I14" s="62"/>
      <c r="L14" s="62"/>
    </row>
    <row r="15" spans="1:13" x14ac:dyDescent="0.25">
      <c r="B15" s="65"/>
      <c r="E15" s="62"/>
      <c r="G15" s="62"/>
      <c r="H15" s="62"/>
      <c r="I15" s="62"/>
      <c r="L15" s="62"/>
    </row>
    <row r="16" spans="1:13" x14ac:dyDescent="0.25">
      <c r="B16" s="65"/>
      <c r="E16" s="62"/>
      <c r="G16" s="62"/>
      <c r="H16" s="62"/>
      <c r="I16" s="62"/>
      <c r="K16" s="62"/>
      <c r="L16" s="62"/>
    </row>
    <row r="17" spans="1:12" x14ac:dyDescent="0.25">
      <c r="B17" s="65"/>
      <c r="E17" s="62"/>
      <c r="G17" s="62"/>
      <c r="H17" s="62"/>
      <c r="I17" s="62"/>
      <c r="K17" s="62"/>
      <c r="L17" s="62"/>
    </row>
    <row r="18" spans="1:12" x14ac:dyDescent="0.25">
      <c r="B18" s="65"/>
      <c r="C18" s="62"/>
      <c r="E18" s="62"/>
      <c r="G18" s="62"/>
      <c r="H18" s="62"/>
      <c r="I18" s="62"/>
      <c r="K18" s="62"/>
      <c r="L18" s="62"/>
    </row>
    <row r="19" spans="1:12" x14ac:dyDescent="0.25">
      <c r="B19" s="65"/>
      <c r="E19" s="62"/>
      <c r="G19" s="62"/>
      <c r="H19" s="62"/>
      <c r="I19" s="62"/>
      <c r="K19" s="62"/>
      <c r="L19" s="62"/>
    </row>
    <row r="20" spans="1:12" x14ac:dyDescent="0.25">
      <c r="B20" s="65"/>
      <c r="E20" s="62"/>
      <c r="H20" s="62"/>
      <c r="K20" s="62"/>
      <c r="L20" s="62"/>
    </row>
    <row r="21" spans="1:12" x14ac:dyDescent="0.25">
      <c r="B21" s="65"/>
      <c r="C21" s="62"/>
      <c r="D21" s="62"/>
      <c r="E21" s="62"/>
      <c r="F21" s="62"/>
      <c r="G21" s="62"/>
      <c r="H21" s="62"/>
      <c r="I21" s="62"/>
      <c r="J21" s="62"/>
      <c r="K21" s="62"/>
      <c r="L21" s="62"/>
    </row>
    <row r="22" spans="1:12" x14ac:dyDescent="0.25">
      <c r="B22" s="65"/>
    </row>
    <row r="23" spans="1:12" x14ac:dyDescent="0.25">
      <c r="B23" s="65"/>
    </row>
    <row r="24" spans="1:12" x14ac:dyDescent="0.25">
      <c r="A24" s="63"/>
      <c r="B24" s="65"/>
    </row>
    <row r="25" spans="1:12" x14ac:dyDescent="0.25">
      <c r="B25" s="65"/>
      <c r="C25" s="63"/>
      <c r="D25" s="63"/>
      <c r="E25" s="63"/>
      <c r="F25" s="63"/>
      <c r="G25" s="63"/>
      <c r="H25" s="63"/>
      <c r="I25" s="63"/>
      <c r="J25" s="63"/>
      <c r="K25" s="63"/>
      <c r="L25" s="63"/>
    </row>
    <row r="26" spans="1:12" x14ac:dyDescent="0.25">
      <c r="B26" s="65"/>
      <c r="E26" s="62"/>
      <c r="G26" s="61"/>
      <c r="H26" s="61"/>
      <c r="I26" s="61"/>
      <c r="J26" s="61"/>
      <c r="K26" s="61"/>
    </row>
    <row r="27" spans="1:12" x14ac:dyDescent="0.25">
      <c r="B27" s="65"/>
      <c r="E27" s="62"/>
      <c r="G27" s="62"/>
      <c r="H27" s="62"/>
      <c r="I27" s="61"/>
      <c r="K27" s="62"/>
    </row>
    <row r="28" spans="1:12" x14ac:dyDescent="0.25">
      <c r="B28" s="65"/>
      <c r="E28" s="62"/>
      <c r="G28" s="62"/>
      <c r="H28" s="62"/>
      <c r="I28" s="61"/>
      <c r="K28" s="62"/>
    </row>
    <row r="29" spans="1:12" x14ac:dyDescent="0.25">
      <c r="A29" s="63"/>
    </row>
    <row r="30" spans="1:12" x14ac:dyDescent="0.25">
      <c r="A30" s="63"/>
      <c r="C30" s="62"/>
      <c r="D30" s="62"/>
      <c r="E30" s="62"/>
      <c r="F30" s="62"/>
      <c r="G30" s="62"/>
      <c r="H30" s="62"/>
      <c r="I30" s="62"/>
      <c r="J30" s="62"/>
      <c r="K30" s="62"/>
      <c r="L30" s="62"/>
    </row>
    <row r="31" spans="1:12" x14ac:dyDescent="0.25">
      <c r="A31" s="63"/>
      <c r="B31" s="58"/>
      <c r="C31" s="62"/>
      <c r="D31" s="62"/>
      <c r="E31" s="62"/>
      <c r="F31" s="62"/>
      <c r="G31" s="62"/>
      <c r="H31" s="62"/>
      <c r="I31" s="62"/>
      <c r="J31" s="62"/>
      <c r="K31" s="62"/>
      <c r="L31" s="62"/>
    </row>
    <row r="32" spans="1:12" x14ac:dyDescent="0.25">
      <c r="A32" s="63"/>
      <c r="B32" s="58"/>
      <c r="C32" s="62"/>
      <c r="D32" s="62"/>
      <c r="E32" s="62"/>
      <c r="F32" s="62"/>
      <c r="G32" s="62"/>
      <c r="H32" s="62"/>
      <c r="I32" s="62"/>
      <c r="J32" s="62"/>
      <c r="K32" s="62"/>
      <c r="L32" s="62"/>
    </row>
    <row r="33" spans="1:13" x14ac:dyDescent="0.25">
      <c r="A33" s="63"/>
      <c r="B33" s="58"/>
      <c r="C33" s="62"/>
      <c r="D33" s="62"/>
      <c r="E33" s="62"/>
      <c r="F33" s="62"/>
      <c r="G33" s="62"/>
      <c r="H33" s="62"/>
      <c r="I33" s="62"/>
      <c r="J33" s="62"/>
      <c r="K33" s="62"/>
      <c r="L33" s="62"/>
    </row>
    <row r="34" spans="1:13" x14ac:dyDescent="0.25">
      <c r="B34" s="58"/>
      <c r="C34" s="78"/>
      <c r="D34" s="78"/>
      <c r="E34" s="78"/>
      <c r="F34" s="78"/>
      <c r="G34" s="78"/>
      <c r="H34" s="78"/>
      <c r="I34" s="78"/>
      <c r="J34" s="78"/>
      <c r="K34" s="78"/>
      <c r="L34" s="82"/>
      <c r="M34" s="82"/>
    </row>
    <row r="35" spans="1:13" x14ac:dyDescent="0.25">
      <c r="A35" s="79"/>
      <c r="B35" s="80"/>
      <c r="C35" s="80"/>
      <c r="D35" s="80"/>
      <c r="F35" s="80"/>
      <c r="G35" s="80"/>
      <c r="H35" s="80"/>
      <c r="I35" s="80"/>
      <c r="J35" s="80"/>
      <c r="K35" s="80"/>
    </row>
    <row r="36" spans="1:13" x14ac:dyDescent="0.25">
      <c r="A36" s="79"/>
      <c r="B36" s="80"/>
      <c r="C36" s="80"/>
      <c r="D36" s="80"/>
      <c r="F36" s="80"/>
      <c r="G36" s="80"/>
      <c r="H36" s="80"/>
      <c r="I36" s="80"/>
      <c r="J36" s="80"/>
      <c r="K36" s="80"/>
    </row>
    <row r="39" spans="1:13" x14ac:dyDescent="0.25">
      <c r="A39" s="63"/>
    </row>
    <row r="40" spans="1:13" x14ac:dyDescent="0.25">
      <c r="A40" s="79"/>
      <c r="C40" s="68"/>
      <c r="D40" s="68"/>
      <c r="E40" s="68"/>
      <c r="F40" s="68"/>
      <c r="G40" s="68"/>
      <c r="H40" s="68"/>
      <c r="I40" s="68"/>
      <c r="J40" s="68"/>
      <c r="K40" s="68"/>
    </row>
    <row r="41" spans="1:13" x14ac:dyDescent="0.25">
      <c r="A41" s="79"/>
      <c r="C41" s="68"/>
      <c r="D41" s="68"/>
      <c r="E41" s="68"/>
      <c r="F41" s="68"/>
      <c r="G41" s="68"/>
      <c r="H41" s="68"/>
      <c r="I41" s="68"/>
      <c r="J41" s="68"/>
      <c r="K41" s="68"/>
    </row>
    <row r="42" spans="1:13" x14ac:dyDescent="0.25">
      <c r="C42" s="6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G174"/>
  <sheetViews>
    <sheetView showGridLines="0" tabSelected="1" zoomScaleNormal="100" workbookViewId="0">
      <selection activeCell="C75" sqref="C75"/>
    </sheetView>
  </sheetViews>
  <sheetFormatPr defaultColWidth="9" defaultRowHeight="15" outlineLevelRow="2" outlineLevelCol="1" x14ac:dyDescent="0.25"/>
  <cols>
    <col min="1" max="1" width="1" style="255" customWidth="1"/>
    <col min="2" max="2" width="16.7109375" style="255" customWidth="1"/>
    <col min="3" max="4" width="15" style="255" customWidth="1"/>
    <col min="5" max="5" width="1.140625" style="255" customWidth="1"/>
    <col min="6" max="12" width="14.140625" style="255" customWidth="1"/>
    <col min="13" max="17" width="13.85546875" style="255" customWidth="1"/>
    <col min="18" max="18" width="13.85546875" style="255" hidden="1" customWidth="1" outlineLevel="1"/>
    <col min="19" max="19" width="13.85546875" style="255" customWidth="1" collapsed="1"/>
    <col min="20" max="20" width="13.85546875" style="255" hidden="1" customWidth="1" outlineLevel="1"/>
    <col min="21" max="21" width="13.85546875" style="255" customWidth="1" collapsed="1"/>
    <col min="22" max="22" width="13.85546875" style="255" hidden="1" customWidth="1" outlineLevel="1"/>
    <col min="23" max="23" width="14.140625" style="255" hidden="1" customWidth="1" outlineLevel="1"/>
    <col min="24" max="24" width="15.5703125" style="255" hidden="1" customWidth="1" outlineLevel="1"/>
    <col min="25" max="25" width="14" style="255" bestFit="1" customWidth="1" collapsed="1"/>
    <col min="26" max="27" width="14" style="255" customWidth="1"/>
    <col min="28" max="33" width="15.140625" style="255" customWidth="1"/>
    <col min="34" max="16384" width="9" style="255"/>
  </cols>
  <sheetData>
    <row r="1" spans="2:18" ht="15.75" thickBot="1" x14ac:dyDescent="0.3"/>
    <row r="2" spans="2:18" ht="15.75" thickBot="1" x14ac:dyDescent="0.3">
      <c r="B2" s="332" t="s">
        <v>9</v>
      </c>
      <c r="C2" s="333"/>
      <c r="F2" s="25" t="s">
        <v>94</v>
      </c>
      <c r="G2" s="25" t="s">
        <v>95</v>
      </c>
      <c r="H2" s="25" t="s">
        <v>96</v>
      </c>
      <c r="I2" s="25" t="s">
        <v>97</v>
      </c>
      <c r="J2" s="25" t="s">
        <v>98</v>
      </c>
    </row>
    <row r="3" spans="2:18" ht="21.75" thickBot="1" x14ac:dyDescent="0.3">
      <c r="B3" s="203" t="s">
        <v>75</v>
      </c>
      <c r="C3" s="123" t="s">
        <v>76</v>
      </c>
      <c r="D3" s="23" t="s">
        <v>77</v>
      </c>
      <c r="E3" s="23"/>
      <c r="F3" s="297" t="s">
        <v>78</v>
      </c>
      <c r="G3" s="23" t="s">
        <v>81</v>
      </c>
      <c r="H3" s="23" t="s">
        <v>92</v>
      </c>
      <c r="I3" s="23" t="s">
        <v>91</v>
      </c>
      <c r="J3" s="26" t="s">
        <v>93</v>
      </c>
      <c r="N3" s="128"/>
    </row>
    <row r="4" spans="2:18" ht="15.75" hidden="1" outlineLevel="1" thickBot="1" x14ac:dyDescent="0.3">
      <c r="B4" s="134">
        <v>2005</v>
      </c>
      <c r="C4" s="27">
        <v>3967418646.04</v>
      </c>
      <c r="D4" s="27">
        <v>323348200.51999998</v>
      </c>
      <c r="E4" s="27"/>
      <c r="F4" s="27">
        <f t="shared" ref="F4:F10" si="0">G68</f>
        <v>0</v>
      </c>
      <c r="G4" s="28">
        <v>25396508.280000001</v>
      </c>
      <c r="H4" s="27">
        <f t="shared" ref="H4:H10" si="1">SUM(K68:X68)</f>
        <v>36826871.18999999</v>
      </c>
      <c r="I4" s="29">
        <f t="shared" ref="I4:I20" si="2">G4+H4</f>
        <v>62223379.469999991</v>
      </c>
      <c r="J4" s="29">
        <f t="shared" ref="J4:J20" si="3">+F4+I4</f>
        <v>62223379.469999991</v>
      </c>
      <c r="K4" s="96"/>
      <c r="N4" s="128"/>
    </row>
    <row r="5" spans="2:18" ht="15.75" hidden="1" outlineLevel="1" thickBot="1" x14ac:dyDescent="0.3">
      <c r="B5" s="134">
        <v>2006</v>
      </c>
      <c r="C5" s="27">
        <v>4366686874.21</v>
      </c>
      <c r="D5" s="27">
        <v>364084420.60000002</v>
      </c>
      <c r="E5" s="27"/>
      <c r="F5" s="27">
        <f t="shared" si="0"/>
        <v>0</v>
      </c>
      <c r="G5" s="28">
        <v>26747347.530000001</v>
      </c>
      <c r="H5" s="27">
        <f t="shared" si="1"/>
        <v>40396607.220000006</v>
      </c>
      <c r="I5" s="29">
        <f t="shared" si="2"/>
        <v>67143954.75</v>
      </c>
      <c r="J5" s="29">
        <f t="shared" si="3"/>
        <v>67143954.75</v>
      </c>
      <c r="K5" s="96"/>
      <c r="N5" s="128"/>
    </row>
    <row r="6" spans="2:18" ht="15.75" hidden="1" outlineLevel="1" thickBot="1" x14ac:dyDescent="0.3">
      <c r="B6" s="134">
        <v>2007</v>
      </c>
      <c r="C6" s="27">
        <v>4352968473.7200003</v>
      </c>
      <c r="D6" s="27">
        <v>367531498.35000002</v>
      </c>
      <c r="E6" s="27"/>
      <c r="F6" s="27">
        <f t="shared" si="0"/>
        <v>0</v>
      </c>
      <c r="G6" s="28">
        <v>35509848.439999998</v>
      </c>
      <c r="H6" s="27">
        <f t="shared" si="1"/>
        <v>36330909.639999993</v>
      </c>
      <c r="I6" s="29">
        <f t="shared" si="2"/>
        <v>71840758.079999983</v>
      </c>
      <c r="J6" s="29">
        <f t="shared" si="3"/>
        <v>71840758.079999983</v>
      </c>
      <c r="K6" s="96"/>
      <c r="N6" s="128"/>
    </row>
    <row r="7" spans="2:18" ht="15.75" hidden="1" outlineLevel="1" thickBot="1" x14ac:dyDescent="0.3">
      <c r="B7" s="134">
        <v>2008</v>
      </c>
      <c r="C7" s="27">
        <v>4445573703.5799999</v>
      </c>
      <c r="D7" s="27">
        <v>375232895.51999998</v>
      </c>
      <c r="E7" s="27"/>
      <c r="F7" s="27">
        <f t="shared" si="0"/>
        <v>0</v>
      </c>
      <c r="G7" s="28">
        <v>38589682.640000001</v>
      </c>
      <c r="H7" s="27">
        <f t="shared" si="1"/>
        <v>30072699.980000004</v>
      </c>
      <c r="I7" s="29">
        <f t="shared" si="2"/>
        <v>68662382.620000005</v>
      </c>
      <c r="J7" s="29">
        <f t="shared" si="3"/>
        <v>68662382.620000005</v>
      </c>
      <c r="K7" s="96"/>
      <c r="N7" s="128"/>
    </row>
    <row r="8" spans="2:18" ht="15.75" hidden="1" outlineLevel="1" thickBot="1" x14ac:dyDescent="0.3">
      <c r="B8" s="134">
        <v>2009</v>
      </c>
      <c r="C8" s="27">
        <v>4613581411.3599997</v>
      </c>
      <c r="D8" s="27">
        <v>387899089.68000001</v>
      </c>
      <c r="E8" s="27"/>
      <c r="F8" s="27">
        <f t="shared" si="0"/>
        <v>0</v>
      </c>
      <c r="G8" s="28">
        <v>37285465.100000001</v>
      </c>
      <c r="H8" s="27">
        <f t="shared" si="1"/>
        <v>28099221.779999997</v>
      </c>
      <c r="I8" s="29">
        <f t="shared" si="2"/>
        <v>65384686.879999995</v>
      </c>
      <c r="J8" s="29">
        <f t="shared" si="3"/>
        <v>65384686.879999995</v>
      </c>
      <c r="K8" s="96"/>
      <c r="N8" s="128"/>
    </row>
    <row r="9" spans="2:18" ht="15.75" hidden="1" outlineLevel="1" thickBot="1" x14ac:dyDescent="0.3">
      <c r="B9" s="134">
        <v>2010</v>
      </c>
      <c r="C9" s="27">
        <v>4723013429.3599997</v>
      </c>
      <c r="D9" s="27">
        <v>407073950.49000001</v>
      </c>
      <c r="E9" s="27"/>
      <c r="F9" s="27">
        <f t="shared" si="0"/>
        <v>0</v>
      </c>
      <c r="G9" s="28">
        <v>35239278.869999997</v>
      </c>
      <c r="H9" s="27">
        <f t="shared" si="1"/>
        <v>27694390.910000004</v>
      </c>
      <c r="I9" s="29">
        <f t="shared" si="2"/>
        <v>62933669.780000001</v>
      </c>
      <c r="J9" s="29">
        <f t="shared" si="3"/>
        <v>62933669.780000001</v>
      </c>
      <c r="K9" s="96"/>
      <c r="N9" s="128"/>
    </row>
    <row r="10" spans="2:18" ht="15.75" hidden="1" outlineLevel="1" thickBot="1" x14ac:dyDescent="0.3">
      <c r="B10" s="134">
        <v>2011</v>
      </c>
      <c r="C10" s="27">
        <v>4988007891.8699999</v>
      </c>
      <c r="D10" s="27">
        <v>434415889.69</v>
      </c>
      <c r="E10" s="27"/>
      <c r="F10" s="27">
        <f t="shared" si="0"/>
        <v>0</v>
      </c>
      <c r="G10" s="28">
        <v>31704955.48</v>
      </c>
      <c r="H10" s="27">
        <f t="shared" si="1"/>
        <v>31319813.07</v>
      </c>
      <c r="I10" s="29">
        <f t="shared" si="2"/>
        <v>63024768.549999997</v>
      </c>
      <c r="J10" s="29">
        <f t="shared" si="3"/>
        <v>63024768.549999997</v>
      </c>
      <c r="K10" s="96"/>
      <c r="N10" s="128"/>
    </row>
    <row r="11" spans="2:18" ht="15.75" collapsed="1" thickBot="1" x14ac:dyDescent="0.3">
      <c r="B11" s="134">
        <v>2012</v>
      </c>
      <c r="C11" s="27">
        <f>VLOOKUP($B11,COGNOS2!$A$4:$C$20,2,0)</f>
        <v>5113108047.9899998</v>
      </c>
      <c r="D11" s="27">
        <f>VLOOKUP($B11,COGNOS2!$A$4:$C$20,3,0)</f>
        <v>448832810.55000001</v>
      </c>
      <c r="E11" s="27"/>
      <c r="F11" s="27">
        <f t="shared" ref="F11:F20" si="4">SUM(G75:I75)</f>
        <v>0</v>
      </c>
      <c r="G11" s="299">
        <f t="shared" ref="G11:G19" si="5">J75</f>
        <v>29423378.050000001</v>
      </c>
      <c r="H11" s="27">
        <f>SUM(K75:Y75)</f>
        <v>32258314.139999997</v>
      </c>
      <c r="I11" s="29">
        <f t="shared" si="2"/>
        <v>61681692.189999998</v>
      </c>
      <c r="J11" s="29">
        <f t="shared" si="3"/>
        <v>61681692.189999998</v>
      </c>
      <c r="L11" s="128"/>
      <c r="O11" s="96"/>
    </row>
    <row r="12" spans="2:18" ht="15.75" thickBot="1" x14ac:dyDescent="0.3">
      <c r="B12" s="134">
        <v>2013</v>
      </c>
      <c r="C12" s="27">
        <f>VLOOKUP($B12,COGNOS2!$A$4:$C$20,2,0)</f>
        <v>5111331229.8400002</v>
      </c>
      <c r="D12" s="27">
        <f>VLOOKUP($B12,COGNOS2!$A$4:$C$20,3,0)</f>
        <v>442365887.73000002</v>
      </c>
      <c r="E12" s="27"/>
      <c r="F12" s="27">
        <f t="shared" si="4"/>
        <v>7444598.4355929997</v>
      </c>
      <c r="G12" s="299">
        <f t="shared" si="5"/>
        <v>24588062.73</v>
      </c>
      <c r="H12" s="27">
        <f t="shared" ref="H12:H20" si="6">SUM(K76:Y76)</f>
        <v>36793828.594407015</v>
      </c>
      <c r="I12" s="29">
        <f t="shared" si="2"/>
        <v>61381891.324407011</v>
      </c>
      <c r="J12" s="29">
        <f t="shared" si="3"/>
        <v>68826489.760000005</v>
      </c>
      <c r="L12" s="128"/>
    </row>
    <row r="13" spans="2:18" ht="15.75" thickBot="1" x14ac:dyDescent="0.3">
      <c r="B13" s="134">
        <v>2014</v>
      </c>
      <c r="C13" s="27">
        <f>VLOOKUP($B13,COGNOS2!$A$4:$C$20,2,0)</f>
        <v>5177345265.75</v>
      </c>
      <c r="D13" s="27">
        <f>VLOOKUP($B13,COGNOS2!$A$4:$C$20,3,0)</f>
        <v>431223118.99000001</v>
      </c>
      <c r="E13" s="27"/>
      <c r="F13" s="27">
        <f t="shared" si="4"/>
        <v>11102745.781687001</v>
      </c>
      <c r="G13" s="299">
        <f t="shared" si="5"/>
        <v>24531885.98</v>
      </c>
      <c r="H13" s="27">
        <f t="shared" si="6"/>
        <v>47103488.728312999</v>
      </c>
      <c r="I13" s="29">
        <f t="shared" si="2"/>
        <v>71635374.708313003</v>
      </c>
      <c r="J13" s="29">
        <f t="shared" si="3"/>
        <v>82738120.49000001</v>
      </c>
      <c r="L13" s="126" t="s">
        <v>94</v>
      </c>
      <c r="M13" s="334" t="s">
        <v>157</v>
      </c>
      <c r="N13" s="335"/>
      <c r="O13" s="335"/>
      <c r="P13" s="335"/>
      <c r="Q13" s="335"/>
      <c r="R13" s="336"/>
    </row>
    <row r="14" spans="2:18" ht="15.75" thickBot="1" x14ac:dyDescent="0.3">
      <c r="B14" s="134">
        <v>2015</v>
      </c>
      <c r="C14" s="27">
        <f>VLOOKUP($B14,COGNOS2!$A$4:$C$20,2,0)</f>
        <v>5402537959.9499998</v>
      </c>
      <c r="D14" s="27">
        <f>VLOOKUP($B14,COGNOS2!$A$4:$C$20,3,0)</f>
        <v>446278627.00999999</v>
      </c>
      <c r="E14" s="27"/>
      <c r="F14" s="27">
        <f t="shared" si="4"/>
        <v>12603720.583153</v>
      </c>
      <c r="G14" s="299">
        <f t="shared" si="5"/>
        <v>25886888.420000002</v>
      </c>
      <c r="H14" s="27">
        <f t="shared" si="6"/>
        <v>52097703.256847002</v>
      </c>
      <c r="I14" s="29">
        <f t="shared" si="2"/>
        <v>77984591.676847011</v>
      </c>
      <c r="J14" s="29">
        <f t="shared" si="3"/>
        <v>90588312.260000005</v>
      </c>
      <c r="L14" s="126" t="s">
        <v>95</v>
      </c>
      <c r="M14" s="334" t="s">
        <v>158</v>
      </c>
      <c r="N14" s="335"/>
      <c r="O14" s="335"/>
      <c r="P14" s="335"/>
      <c r="Q14" s="335"/>
      <c r="R14" s="336"/>
    </row>
    <row r="15" spans="2:18" ht="15.75" thickBot="1" x14ac:dyDescent="0.3">
      <c r="B15" s="134">
        <v>2016</v>
      </c>
      <c r="C15" s="27">
        <f>VLOOKUP($B15,COGNOS2!$A$4:$C$20,2,0)</f>
        <v>5514933568.9899998</v>
      </c>
      <c r="D15" s="27">
        <f>VLOOKUP($B15,COGNOS2!$A$4:$C$20,3,0)</f>
        <v>459432566.57999998</v>
      </c>
      <c r="E15" s="27"/>
      <c r="F15" s="27">
        <f t="shared" si="4"/>
        <v>12624269.360359998</v>
      </c>
      <c r="G15" s="299">
        <f t="shared" si="5"/>
        <v>25136867.649999999</v>
      </c>
      <c r="H15" s="27">
        <f t="shared" si="6"/>
        <v>53027012.719640009</v>
      </c>
      <c r="I15" s="29">
        <f t="shared" si="2"/>
        <v>78163880.369640008</v>
      </c>
      <c r="J15" s="29">
        <f t="shared" si="3"/>
        <v>90788149.730000004</v>
      </c>
      <c r="L15" s="126" t="s">
        <v>96</v>
      </c>
      <c r="M15" s="334" t="s">
        <v>159</v>
      </c>
      <c r="N15" s="335"/>
      <c r="O15" s="335"/>
      <c r="P15" s="335"/>
      <c r="Q15" s="335"/>
      <c r="R15" s="336"/>
    </row>
    <row r="16" spans="2:18" ht="15.75" thickBot="1" x14ac:dyDescent="0.3">
      <c r="B16" s="134">
        <v>2017</v>
      </c>
      <c r="C16" s="27">
        <f>VLOOKUP($B16,COGNOS2!$A$4:$C$20,2,0)</f>
        <v>5468326234.6000004</v>
      </c>
      <c r="D16" s="27">
        <f>VLOOKUP($B16,COGNOS2!$A$4:$C$20,3,0)</f>
        <v>444962154.55000001</v>
      </c>
      <c r="E16" s="27"/>
      <c r="F16" s="27">
        <f t="shared" si="4"/>
        <v>11220918.816297999</v>
      </c>
      <c r="G16" s="299">
        <f t="shared" si="5"/>
        <v>22853786.449999999</v>
      </c>
      <c r="H16" s="27">
        <f t="shared" si="6"/>
        <v>59517240.263702013</v>
      </c>
      <c r="I16" s="29">
        <f t="shared" si="2"/>
        <v>82371026.713702008</v>
      </c>
      <c r="J16" s="29">
        <f t="shared" si="3"/>
        <v>93591945.530000001</v>
      </c>
    </row>
    <row r="17" spans="2:33" ht="15.75" thickBot="1" x14ac:dyDescent="0.3">
      <c r="B17" s="134">
        <v>2018</v>
      </c>
      <c r="C17" s="27">
        <f>VLOOKUP($B17,COGNOS2!$A$4:$C$20,2,0)</f>
        <v>5551893797.1499996</v>
      </c>
      <c r="D17" s="27">
        <f>VLOOKUP($B17,COGNOS2!$A$4:$C$20,3,0)</f>
        <v>445511202.79000002</v>
      </c>
      <c r="E17" s="27"/>
      <c r="F17" s="27">
        <f t="shared" si="4"/>
        <v>11760992.105654001</v>
      </c>
      <c r="G17" s="299">
        <f t="shared" si="5"/>
        <v>22647418.609999999</v>
      </c>
      <c r="H17" s="27">
        <f t="shared" si="6"/>
        <v>59561242.564345978</v>
      </c>
      <c r="I17" s="29">
        <f t="shared" si="2"/>
        <v>82208661.17434597</v>
      </c>
      <c r="J17" s="29">
        <f t="shared" si="3"/>
        <v>93969653.279999971</v>
      </c>
    </row>
    <row r="18" spans="2:33" ht="15.75" thickBot="1" x14ac:dyDescent="0.3">
      <c r="B18" s="134">
        <v>2019</v>
      </c>
      <c r="C18" s="27">
        <f>VLOOKUP($B18,COGNOS2!$A$4:$C$20,2,0)</f>
        <v>5851909080.8599997</v>
      </c>
      <c r="D18" s="27">
        <f>VLOOKUP($B18,COGNOS2!$A$4:$C$20,3,0)</f>
        <v>459123839.61000001</v>
      </c>
      <c r="E18" s="27"/>
      <c r="F18" s="27">
        <f t="shared" si="4"/>
        <v>12794932.717916999</v>
      </c>
      <c r="G18" s="299">
        <f t="shared" si="5"/>
        <v>22616295.739999998</v>
      </c>
      <c r="H18" s="27">
        <f t="shared" si="6"/>
        <v>53843034.602083027</v>
      </c>
      <c r="I18" s="29">
        <f t="shared" si="2"/>
        <v>76459330.342083022</v>
      </c>
      <c r="J18" s="29">
        <f t="shared" si="3"/>
        <v>89254263.060000017</v>
      </c>
      <c r="O18" s="96"/>
    </row>
    <row r="19" spans="2:33" ht="15.75" thickBot="1" x14ac:dyDescent="0.3">
      <c r="B19" s="134">
        <v>2020</v>
      </c>
      <c r="C19" s="27">
        <f>VLOOKUP($B19,COGNOS2!$A$4:$C$20,2,0)</f>
        <v>4460847923.75</v>
      </c>
      <c r="D19" s="27">
        <f>VLOOKUP($B19,COGNOS2!$A$4:$C$20,3,0)</f>
        <v>339599506.88</v>
      </c>
      <c r="E19" s="27"/>
      <c r="F19" s="27">
        <f t="shared" si="4"/>
        <v>8680088.2675880007</v>
      </c>
      <c r="G19" s="299">
        <f t="shared" si="5"/>
        <v>15325215.26</v>
      </c>
      <c r="H19" s="27">
        <f t="shared" si="6"/>
        <v>42762110.242412001</v>
      </c>
      <c r="I19" s="29">
        <f t="shared" si="2"/>
        <v>58087325.502411999</v>
      </c>
      <c r="J19" s="29">
        <f t="shared" si="3"/>
        <v>66767413.769999996</v>
      </c>
      <c r="O19" s="96"/>
    </row>
    <row r="20" spans="2:33" ht="15.75" thickBot="1" x14ac:dyDescent="0.3">
      <c r="B20" s="134">
        <v>2021</v>
      </c>
      <c r="C20" s="27">
        <f>VLOOKUP($B20,COGNOS2!$A$4:$C$20,2,0)</f>
        <v>1962426836.3299999</v>
      </c>
      <c r="D20" s="27">
        <f>VLOOKUP($B20,COGNOS2!$A$4:$C$20,3,0)</f>
        <v>158226941.55000001</v>
      </c>
      <c r="E20" s="27"/>
      <c r="F20" s="27">
        <f t="shared" si="4"/>
        <v>2783351.8385100001</v>
      </c>
      <c r="G20" s="299">
        <f t="shared" ref="G20" si="7">J84</f>
        <v>802116.54</v>
      </c>
      <c r="H20" s="27">
        <f t="shared" si="6"/>
        <v>11456798.88149</v>
      </c>
      <c r="I20" s="29">
        <f t="shared" si="2"/>
        <v>12258915.421489999</v>
      </c>
      <c r="J20" s="29">
        <f t="shared" si="3"/>
        <v>15042267.259999998</v>
      </c>
    </row>
    <row r="21" spans="2:33" ht="15.75" hidden="1" outlineLevel="1" thickBot="1" x14ac:dyDescent="0.3">
      <c r="B21" s="135" t="s">
        <v>246</v>
      </c>
      <c r="C21" s="132">
        <f>SUM(C4:C10)</f>
        <v>31457250430.139999</v>
      </c>
      <c r="D21" s="132">
        <f>SUM(D4:D10)</f>
        <v>2659585944.8499999</v>
      </c>
      <c r="E21" s="131"/>
      <c r="F21" s="132">
        <f>SUM(F4:F10)</f>
        <v>0</v>
      </c>
      <c r="G21" s="132">
        <f>SUM(G4:G10)</f>
        <v>230473086.34</v>
      </c>
      <c r="H21" s="132">
        <f>SUM(H4:H10)</f>
        <v>230740513.78999996</v>
      </c>
      <c r="I21" s="132">
        <f>SUM(I4:I10)</f>
        <v>461213600.12999994</v>
      </c>
      <c r="J21" s="132">
        <f>SUM(J4:J10)</f>
        <v>461213600.12999994</v>
      </c>
    </row>
    <row r="22" spans="2:33" ht="15.75" collapsed="1" thickBot="1" x14ac:dyDescent="0.3">
      <c r="B22" s="135" t="s">
        <v>228</v>
      </c>
      <c r="C22" s="132">
        <f>SUM(C11:C20)</f>
        <v>49614659945.209999</v>
      </c>
      <c r="D22" s="132">
        <f>SUM(D11:D20)</f>
        <v>4075556656.2400007</v>
      </c>
      <c r="E22" s="131"/>
      <c r="F22" s="132">
        <f>SUM(F11:F20)</f>
        <v>91015617.906760007</v>
      </c>
      <c r="G22" s="132">
        <f>SUM(G11:G20)</f>
        <v>213811915.42999998</v>
      </c>
      <c r="H22" s="132">
        <f>SUM(H11:H20)</f>
        <v>448420773.99324</v>
      </c>
      <c r="I22" s="132">
        <f>SUM(I11:I20)</f>
        <v>662232689.42323995</v>
      </c>
      <c r="J22" s="132">
        <f>SUM(J11:J20)</f>
        <v>753248307.33000004</v>
      </c>
      <c r="N22" s="129"/>
    </row>
    <row r="23" spans="2:33" ht="15.75" thickBot="1" x14ac:dyDescent="0.3">
      <c r="C23" s="141"/>
      <c r="D23" s="141"/>
      <c r="E23" s="141"/>
      <c r="F23" s="141"/>
      <c r="G23" s="141"/>
      <c r="H23" s="141"/>
      <c r="I23" s="141"/>
      <c r="J23" s="141"/>
    </row>
    <row r="24" spans="2:33" ht="15.75" thickBot="1" x14ac:dyDescent="0.3">
      <c r="B24" s="332" t="s">
        <v>155</v>
      </c>
      <c r="C24" s="333"/>
    </row>
    <row r="25" spans="2:33" ht="21.75" thickBot="1" x14ac:dyDescent="0.3">
      <c r="B25" s="203" t="s">
        <v>75</v>
      </c>
      <c r="C25" s="123" t="s">
        <v>76</v>
      </c>
      <c r="D25" s="23" t="s">
        <v>77</v>
      </c>
      <c r="E25" s="23"/>
      <c r="F25" s="297" t="s">
        <v>78</v>
      </c>
      <c r="G25" s="23" t="s">
        <v>81</v>
      </c>
      <c r="H25" s="23" t="s">
        <v>92</v>
      </c>
      <c r="I25" s="23" t="s">
        <v>91</v>
      </c>
      <c r="J25" s="225" t="s">
        <v>253</v>
      </c>
      <c r="K25" s="226" t="s">
        <v>252</v>
      </c>
      <c r="L25" s="225" t="s">
        <v>251</v>
      </c>
      <c r="N25" s="224" t="s">
        <v>78</v>
      </c>
      <c r="O25" s="223" t="s">
        <v>250</v>
      </c>
      <c r="P25" s="222" t="s">
        <v>249</v>
      </c>
      <c r="AB25" s="25" t="s">
        <v>248</v>
      </c>
      <c r="AC25" s="25" t="s">
        <v>248</v>
      </c>
      <c r="AD25" s="25" t="s">
        <v>248</v>
      </c>
      <c r="AE25" s="25" t="s">
        <v>248</v>
      </c>
      <c r="AF25" s="25" t="s">
        <v>248</v>
      </c>
      <c r="AG25" s="25" t="s">
        <v>247</v>
      </c>
    </row>
    <row r="26" spans="2:33" ht="15.75" hidden="1" outlineLevel="1" thickBot="1" x14ac:dyDescent="0.3">
      <c r="B26" s="134">
        <v>2005</v>
      </c>
      <c r="C26" s="27">
        <f t="shared" ref="C26:D41" si="8">C4</f>
        <v>3967418646.04</v>
      </c>
      <c r="D26" s="27">
        <f t="shared" si="8"/>
        <v>323348200.51999998</v>
      </c>
      <c r="E26" s="27"/>
      <c r="F26" s="27">
        <v>0</v>
      </c>
      <c r="G26" s="28">
        <f t="shared" ref="G26:I32" si="9">+G4/$I4*$J26</f>
        <v>5520058.0571993999</v>
      </c>
      <c r="H26" s="27">
        <f t="shared" si="9"/>
        <v>8004504.587502447</v>
      </c>
      <c r="I26" s="29">
        <f t="shared" si="9"/>
        <v>13524562.644701848</v>
      </c>
      <c r="J26" s="29">
        <v>13524562.644701848</v>
      </c>
      <c r="K26" s="29">
        <v>5662327.5317699993</v>
      </c>
      <c r="L26" s="29">
        <f t="shared" ref="L26:L42" si="10">J26+K26</f>
        <v>19186890.176471848</v>
      </c>
      <c r="M26" s="96"/>
      <c r="N26" s="220">
        <f t="shared" ref="N26:N43" si="11">F26</f>
        <v>0</v>
      </c>
      <c r="O26" s="219">
        <f t="shared" ref="O26:O43" si="12">F26/J26*K26</f>
        <v>0</v>
      </c>
      <c r="P26" s="218">
        <f t="shared" ref="P26:P43" si="13">SUM(N26:O26)</f>
        <v>0</v>
      </c>
      <c r="AB26" s="217" t="e">
        <f t="shared" ref="AB26:AB42" si="14">F26/F4</f>
        <v>#DIV/0!</v>
      </c>
      <c r="AC26" s="217">
        <f t="shared" ref="AC26:AC42" si="15">G26/G4</f>
        <v>0.21735499999999999</v>
      </c>
      <c r="AD26" s="217">
        <f t="shared" ref="AD26:AD42" si="16">H26/H4</f>
        <v>0.21735499999999996</v>
      </c>
      <c r="AE26" s="217">
        <f t="shared" ref="AE26:AE42" si="17">I26/I4</f>
        <v>0.21735499999999999</v>
      </c>
      <c r="AF26" s="217">
        <f t="shared" ref="AF26:AF42" si="18">J26/J4</f>
        <v>0.21735499999999999</v>
      </c>
      <c r="AG26" s="217">
        <f t="shared" ref="AG26:AG42" si="19">K26/J4</f>
        <v>9.0999999999999998E-2</v>
      </c>
    </row>
    <row r="27" spans="2:33" ht="15.75" hidden="1" outlineLevel="1" thickBot="1" x14ac:dyDescent="0.3">
      <c r="B27" s="134">
        <v>2006</v>
      </c>
      <c r="C27" s="27">
        <f t="shared" si="8"/>
        <v>4366686874.21</v>
      </c>
      <c r="D27" s="27">
        <f t="shared" si="8"/>
        <v>364084420.60000002</v>
      </c>
      <c r="E27" s="27"/>
      <c r="F27" s="27">
        <v>0</v>
      </c>
      <c r="G27" s="28">
        <f t="shared" si="9"/>
        <v>5813669.7223831499</v>
      </c>
      <c r="H27" s="27">
        <f t="shared" si="9"/>
        <v>8780404.5623031016</v>
      </c>
      <c r="I27" s="29">
        <f t="shared" si="9"/>
        <v>14594074.284686251</v>
      </c>
      <c r="J27" s="29">
        <v>14594074.284686251</v>
      </c>
      <c r="K27" s="29">
        <v>6110099.8822499998</v>
      </c>
      <c r="L27" s="29">
        <f t="shared" si="10"/>
        <v>20704174.166936249</v>
      </c>
      <c r="M27" s="96"/>
      <c r="N27" s="220">
        <f t="shared" si="11"/>
        <v>0</v>
      </c>
      <c r="O27" s="219">
        <f t="shared" si="12"/>
        <v>0</v>
      </c>
      <c r="P27" s="218">
        <f t="shared" si="13"/>
        <v>0</v>
      </c>
      <c r="AB27" s="217" t="e">
        <f t="shared" si="14"/>
        <v>#DIV/0!</v>
      </c>
      <c r="AC27" s="217">
        <f t="shared" si="15"/>
        <v>0.21735499999999999</v>
      </c>
      <c r="AD27" s="217">
        <f t="shared" si="16"/>
        <v>0.21735500000000002</v>
      </c>
      <c r="AE27" s="217">
        <f t="shared" si="17"/>
        <v>0.21735500000000002</v>
      </c>
      <c r="AF27" s="217">
        <f t="shared" si="18"/>
        <v>0.21735500000000002</v>
      </c>
      <c r="AG27" s="217">
        <f t="shared" si="19"/>
        <v>9.0999999999999998E-2</v>
      </c>
    </row>
    <row r="28" spans="2:33" ht="15.75" hidden="1" outlineLevel="1" thickBot="1" x14ac:dyDescent="0.3">
      <c r="B28" s="134">
        <v>2007</v>
      </c>
      <c r="C28" s="27">
        <f t="shared" si="8"/>
        <v>4352968473.7200003</v>
      </c>
      <c r="D28" s="27">
        <f t="shared" si="8"/>
        <v>367531498.35000002</v>
      </c>
      <c r="E28" s="27"/>
      <c r="F28" s="27">
        <v>0</v>
      </c>
      <c r="G28" s="28">
        <f t="shared" si="9"/>
        <v>7718243.1076761996</v>
      </c>
      <c r="H28" s="27">
        <f t="shared" si="9"/>
        <v>7896704.8648021985</v>
      </c>
      <c r="I28" s="29">
        <f t="shared" si="9"/>
        <v>15614947.972478397</v>
      </c>
      <c r="J28" s="29">
        <v>15614947.972478397</v>
      </c>
      <c r="K28" s="29">
        <v>6537508.9852799987</v>
      </c>
      <c r="L28" s="29">
        <f t="shared" si="10"/>
        <v>22152456.957758397</v>
      </c>
      <c r="M28" s="96"/>
      <c r="N28" s="220">
        <f t="shared" si="11"/>
        <v>0</v>
      </c>
      <c r="O28" s="219">
        <f t="shared" si="12"/>
        <v>0</v>
      </c>
      <c r="P28" s="218">
        <f t="shared" si="13"/>
        <v>0</v>
      </c>
      <c r="AB28" s="217" t="e">
        <f t="shared" si="14"/>
        <v>#DIV/0!</v>
      </c>
      <c r="AC28" s="217">
        <f t="shared" si="15"/>
        <v>0.21735499999999999</v>
      </c>
      <c r="AD28" s="217">
        <f t="shared" si="16"/>
        <v>0.21735499999999999</v>
      </c>
      <c r="AE28" s="217">
        <f t="shared" si="17"/>
        <v>0.21735500000000002</v>
      </c>
      <c r="AF28" s="217">
        <f t="shared" si="18"/>
        <v>0.21735500000000002</v>
      </c>
      <c r="AG28" s="217">
        <f t="shared" si="19"/>
        <v>9.0999999999999998E-2</v>
      </c>
    </row>
    <row r="29" spans="2:33" ht="15.75" hidden="1" outlineLevel="1" thickBot="1" x14ac:dyDescent="0.3">
      <c r="B29" s="134">
        <v>2008</v>
      </c>
      <c r="C29" s="27">
        <f t="shared" si="8"/>
        <v>4445573703.5799999</v>
      </c>
      <c r="D29" s="27">
        <f t="shared" si="8"/>
        <v>375232895.51999998</v>
      </c>
      <c r="E29" s="27"/>
      <c r="F29" s="27">
        <v>0</v>
      </c>
      <c r="G29" s="28">
        <f t="shared" si="9"/>
        <v>8387660.4702172</v>
      </c>
      <c r="H29" s="27">
        <f t="shared" si="9"/>
        <v>6536451.7041529007</v>
      </c>
      <c r="I29" s="29">
        <f t="shared" si="9"/>
        <v>14924112.174370101</v>
      </c>
      <c r="J29" s="29">
        <v>14924112.174370101</v>
      </c>
      <c r="K29" s="29">
        <v>6248276.8184200004</v>
      </c>
      <c r="L29" s="29">
        <f t="shared" si="10"/>
        <v>21172388.992790103</v>
      </c>
      <c r="M29" s="96"/>
      <c r="N29" s="220">
        <f t="shared" si="11"/>
        <v>0</v>
      </c>
      <c r="O29" s="219">
        <f t="shared" si="12"/>
        <v>0</v>
      </c>
      <c r="P29" s="218">
        <f t="shared" si="13"/>
        <v>0</v>
      </c>
      <c r="AB29" s="217" t="e">
        <f t="shared" si="14"/>
        <v>#DIV/0!</v>
      </c>
      <c r="AC29" s="217">
        <f t="shared" si="15"/>
        <v>0.21735499999999999</v>
      </c>
      <c r="AD29" s="217">
        <f t="shared" si="16"/>
        <v>0.21735499999999999</v>
      </c>
      <c r="AE29" s="217">
        <f t="shared" si="17"/>
        <v>0.21735499999999999</v>
      </c>
      <c r="AF29" s="217">
        <f t="shared" si="18"/>
        <v>0.21735499999999999</v>
      </c>
      <c r="AG29" s="217">
        <f t="shared" si="19"/>
        <v>9.0999999999999998E-2</v>
      </c>
    </row>
    <row r="30" spans="2:33" ht="15.75" hidden="1" outlineLevel="1" thickBot="1" x14ac:dyDescent="0.3">
      <c r="B30" s="134">
        <v>2009</v>
      </c>
      <c r="C30" s="27">
        <f t="shared" si="8"/>
        <v>4613581411.3599997</v>
      </c>
      <c r="D30" s="27">
        <f t="shared" si="8"/>
        <v>387899089.68000001</v>
      </c>
      <c r="E30" s="27"/>
      <c r="F30" s="27">
        <v>0</v>
      </c>
      <c r="G30" s="28">
        <f t="shared" si="9"/>
        <v>8104182.2668105001</v>
      </c>
      <c r="H30" s="27">
        <f t="shared" si="9"/>
        <v>6107506.3499918999</v>
      </c>
      <c r="I30" s="29">
        <f t="shared" si="9"/>
        <v>14211688.6168024</v>
      </c>
      <c r="J30" s="29">
        <v>14211688.6168024</v>
      </c>
      <c r="K30" s="29">
        <v>5950006.5060799997</v>
      </c>
      <c r="L30" s="29">
        <f t="shared" si="10"/>
        <v>20161695.1228824</v>
      </c>
      <c r="M30" s="96"/>
      <c r="N30" s="220">
        <f t="shared" si="11"/>
        <v>0</v>
      </c>
      <c r="O30" s="219">
        <f t="shared" si="12"/>
        <v>0</v>
      </c>
      <c r="P30" s="218">
        <f t="shared" si="13"/>
        <v>0</v>
      </c>
      <c r="AB30" s="217" t="e">
        <f t="shared" si="14"/>
        <v>#DIV/0!</v>
      </c>
      <c r="AC30" s="217">
        <f t="shared" si="15"/>
        <v>0.21735499999999999</v>
      </c>
      <c r="AD30" s="217">
        <f t="shared" si="16"/>
        <v>0.21735500000000002</v>
      </c>
      <c r="AE30" s="217">
        <f t="shared" si="17"/>
        <v>0.21735500000000002</v>
      </c>
      <c r="AF30" s="217">
        <f t="shared" si="18"/>
        <v>0.21735500000000002</v>
      </c>
      <c r="AG30" s="217">
        <f t="shared" si="19"/>
        <v>9.0999999999999998E-2</v>
      </c>
    </row>
    <row r="31" spans="2:33" ht="15.75" hidden="1" outlineLevel="1" thickBot="1" x14ac:dyDescent="0.3">
      <c r="B31" s="134">
        <v>2010</v>
      </c>
      <c r="C31" s="27">
        <f t="shared" si="8"/>
        <v>4723013429.3599997</v>
      </c>
      <c r="D31" s="27">
        <f t="shared" si="8"/>
        <v>407073950.49000001</v>
      </c>
      <c r="E31" s="27"/>
      <c r="F31" s="27">
        <v>0</v>
      </c>
      <c r="G31" s="28">
        <f t="shared" si="9"/>
        <v>7659433.4587888503</v>
      </c>
      <c r="H31" s="27">
        <f t="shared" si="9"/>
        <v>6019514.3362430511</v>
      </c>
      <c r="I31" s="29">
        <f t="shared" si="9"/>
        <v>13678947.795031901</v>
      </c>
      <c r="J31" s="29">
        <v>13678947.795031901</v>
      </c>
      <c r="K31" s="29">
        <v>5726963.94998</v>
      </c>
      <c r="L31" s="29">
        <f t="shared" si="10"/>
        <v>19405911.745011903</v>
      </c>
      <c r="M31" s="96"/>
      <c r="N31" s="220">
        <f t="shared" si="11"/>
        <v>0</v>
      </c>
      <c r="O31" s="219">
        <f t="shared" si="12"/>
        <v>0</v>
      </c>
      <c r="P31" s="218">
        <f t="shared" si="13"/>
        <v>0</v>
      </c>
      <c r="AB31" s="217" t="e">
        <f t="shared" si="14"/>
        <v>#DIV/0!</v>
      </c>
      <c r="AC31" s="217">
        <f t="shared" si="15"/>
        <v>0.21735500000000002</v>
      </c>
      <c r="AD31" s="217">
        <f t="shared" si="16"/>
        <v>0.21735500000000002</v>
      </c>
      <c r="AE31" s="217">
        <f t="shared" si="17"/>
        <v>0.21735500000000002</v>
      </c>
      <c r="AF31" s="217">
        <f t="shared" si="18"/>
        <v>0.21735500000000002</v>
      </c>
      <c r="AG31" s="217">
        <f t="shared" si="19"/>
        <v>9.0999999999999998E-2</v>
      </c>
    </row>
    <row r="32" spans="2:33" ht="15.75" hidden="1" outlineLevel="1" thickBot="1" x14ac:dyDescent="0.3">
      <c r="B32" s="134">
        <v>2011</v>
      </c>
      <c r="C32" s="27">
        <f t="shared" si="8"/>
        <v>4988007891.8699999</v>
      </c>
      <c r="D32" s="27">
        <f t="shared" si="8"/>
        <v>434415889.69</v>
      </c>
      <c r="E32" s="27"/>
      <c r="F32" s="27">
        <v>0</v>
      </c>
      <c r="G32" s="28">
        <f t="shared" si="9"/>
        <v>7936073.7471898962</v>
      </c>
      <c r="H32" s="27">
        <f t="shared" si="9"/>
        <v>7839668.673514314</v>
      </c>
      <c r="I32" s="29">
        <f t="shared" si="9"/>
        <v>15775742.42070421</v>
      </c>
      <c r="J32" s="29">
        <v>15775742.42070421</v>
      </c>
      <c r="K32" s="29">
        <v>5735253.93805</v>
      </c>
      <c r="L32" s="29">
        <f t="shared" si="10"/>
        <v>21510996.35875421</v>
      </c>
      <c r="M32" s="96"/>
      <c r="N32" s="220">
        <f t="shared" si="11"/>
        <v>0</v>
      </c>
      <c r="O32" s="219">
        <f t="shared" si="12"/>
        <v>0</v>
      </c>
      <c r="P32" s="218">
        <f t="shared" si="13"/>
        <v>0</v>
      </c>
      <c r="AB32" s="217" t="e">
        <f t="shared" si="14"/>
        <v>#DIV/0!</v>
      </c>
      <c r="AC32" s="217">
        <f t="shared" si="15"/>
        <v>0.25031019999999998</v>
      </c>
      <c r="AD32" s="217">
        <f t="shared" si="16"/>
        <v>0.25031019999999998</v>
      </c>
      <c r="AE32" s="217">
        <f t="shared" si="17"/>
        <v>0.25031020000000004</v>
      </c>
      <c r="AF32" s="217">
        <f t="shared" si="18"/>
        <v>0.25031020000000004</v>
      </c>
      <c r="AG32" s="217">
        <f t="shared" si="19"/>
        <v>9.0999999999999998E-2</v>
      </c>
    </row>
    <row r="33" spans="2:33" ht="15.75" collapsed="1" thickBot="1" x14ac:dyDescent="0.3">
      <c r="B33" s="134">
        <v>2012</v>
      </c>
      <c r="C33" s="27">
        <f t="shared" si="8"/>
        <v>5113108047.9899998</v>
      </c>
      <c r="D33" s="27">
        <f t="shared" si="8"/>
        <v>448832810.55000001</v>
      </c>
      <c r="E33" s="27"/>
      <c r="F33" s="27">
        <f>F11*HLOOKUP($B33,'[1]Bonus Jackpot Split'!$C$2:$L$54,52,0)</f>
        <v>0</v>
      </c>
      <c r="G33" s="299">
        <f>G11*HLOOKUP($B33,'[1]Bonus Jackpot Split'!$C$2:$L$54,52,0)</f>
        <v>7914253.5410230309</v>
      </c>
      <c r="H33" s="27">
        <f>H11*HLOOKUP($B33,'[1]Bonus Jackpot Split'!$C$2:$L$54,52,0)</f>
        <v>8676790.1522418242</v>
      </c>
      <c r="I33" s="29">
        <f t="shared" ref="I33:I42" si="20">G33+H33</f>
        <v>16591043.693264855</v>
      </c>
      <c r="J33" s="29">
        <f t="shared" ref="J33:J42" si="21">I33+F33</f>
        <v>16591043.693264855</v>
      </c>
      <c r="K33" s="27">
        <f>HLOOKUP($B33,'[1]Bonus Jackpot Split'!$C$2:$L$54,50,0)</f>
        <v>5623823.0468191067</v>
      </c>
      <c r="L33" s="29">
        <f t="shared" si="10"/>
        <v>22214866.740083963</v>
      </c>
      <c r="M33" s="96"/>
      <c r="N33" s="220">
        <f t="shared" si="11"/>
        <v>0</v>
      </c>
      <c r="O33" s="276">
        <f t="shared" si="12"/>
        <v>0</v>
      </c>
      <c r="P33" s="218">
        <f t="shared" si="13"/>
        <v>0</v>
      </c>
      <c r="AB33" s="217" t="e">
        <f t="shared" si="14"/>
        <v>#DIV/0!</v>
      </c>
      <c r="AC33" s="217">
        <f t="shared" si="15"/>
        <v>0.26897841327308203</v>
      </c>
      <c r="AD33" s="217">
        <f t="shared" si="16"/>
        <v>0.26897841327308203</v>
      </c>
      <c r="AE33" s="217">
        <f t="shared" si="17"/>
        <v>0.26897841327308203</v>
      </c>
      <c r="AF33" s="217">
        <f t="shared" si="18"/>
        <v>0.26897841327308203</v>
      </c>
      <c r="AG33" s="217">
        <f t="shared" si="19"/>
        <v>9.1174915070356258E-2</v>
      </c>
    </row>
    <row r="34" spans="2:33" ht="15.75" thickBot="1" x14ac:dyDescent="0.3">
      <c r="B34" s="134">
        <v>2013</v>
      </c>
      <c r="C34" s="27">
        <f t="shared" si="8"/>
        <v>5111331229.8400002</v>
      </c>
      <c r="D34" s="27">
        <f t="shared" si="8"/>
        <v>442365887.73000002</v>
      </c>
      <c r="E34" s="27"/>
      <c r="F34" s="27">
        <f>F12*HLOOKUP($B34,'[1]Bonus Jackpot Split'!$C$2:$L$54,52,0)</f>
        <v>2170969.3583650249</v>
      </c>
      <c r="G34" s="299">
        <f>G12*HLOOKUP($B34,'[1]Bonus Jackpot Split'!$C$2:$L$54,52,0)</f>
        <v>7170290.1412620116</v>
      </c>
      <c r="H34" s="27">
        <f>H12*HLOOKUP($B34,'[1]Bonus Jackpot Split'!$C$2:$L$54,52,0)</f>
        <v>10729695.516347859</v>
      </c>
      <c r="I34" s="29">
        <f t="shared" si="20"/>
        <v>17899985.657609873</v>
      </c>
      <c r="J34" s="29">
        <f t="shared" si="21"/>
        <v>20070955.015974898</v>
      </c>
      <c r="K34" s="27">
        <f>HLOOKUP($B34,'[1]Bonus Jackpot Split'!$C$2:$L$54,50,0)</f>
        <v>5294316.8594089625</v>
      </c>
      <c r="L34" s="29">
        <f t="shared" si="10"/>
        <v>25365271.875383861</v>
      </c>
      <c r="M34" s="96"/>
      <c r="N34" s="220">
        <f t="shared" si="11"/>
        <v>2170969.3583650249</v>
      </c>
      <c r="O34" s="276">
        <f t="shared" si="12"/>
        <v>572658.33469827671</v>
      </c>
      <c r="P34" s="218">
        <f t="shared" si="13"/>
        <v>2743627.6930633015</v>
      </c>
      <c r="AB34" s="217">
        <f t="shared" si="14"/>
        <v>0.29161671742904377</v>
      </c>
      <c r="AC34" s="217">
        <f t="shared" si="15"/>
        <v>0.29161671742904371</v>
      </c>
      <c r="AD34" s="217">
        <f t="shared" si="16"/>
        <v>0.29161671742904371</v>
      </c>
      <c r="AE34" s="217">
        <f t="shared" si="17"/>
        <v>0.29161671742904377</v>
      </c>
      <c r="AF34" s="217">
        <f t="shared" si="18"/>
        <v>0.29161671742904377</v>
      </c>
      <c r="AG34" s="217">
        <f t="shared" si="19"/>
        <v>7.692266274032572E-2</v>
      </c>
    </row>
    <row r="35" spans="2:33" ht="15.75" thickBot="1" x14ac:dyDescent="0.3">
      <c r="B35" s="134">
        <v>2014</v>
      </c>
      <c r="C35" s="27">
        <f t="shared" si="8"/>
        <v>5177345265.75</v>
      </c>
      <c r="D35" s="27">
        <f t="shared" si="8"/>
        <v>431223118.99000001</v>
      </c>
      <c r="E35" s="27"/>
      <c r="F35" s="27">
        <f>F13*HLOOKUP($B35,'[1]Bonus Jackpot Split'!$C$2:$L$54,52,0)</f>
        <v>3172389.7512817145</v>
      </c>
      <c r="G35" s="299">
        <f>G13*HLOOKUP($B35,'[1]Bonus Jackpot Split'!$C$2:$L$54,52,0)</f>
        <v>7009500.6400064174</v>
      </c>
      <c r="H35" s="27">
        <f>H13*HLOOKUP($B35,'[1]Bonus Jackpot Split'!$C$2:$L$54,52,0)</f>
        <v>13458889.163956771</v>
      </c>
      <c r="I35" s="29">
        <f t="shared" si="20"/>
        <v>20468389.803963188</v>
      </c>
      <c r="J35" s="29">
        <f t="shared" si="21"/>
        <v>23640779.555244904</v>
      </c>
      <c r="K35" s="27">
        <f>HLOOKUP($B35,'[1]Bonus Jackpot Split'!$C$2:$L$54,50,0)</f>
        <v>6710833.8119123466</v>
      </c>
      <c r="L35" s="29">
        <f t="shared" si="10"/>
        <v>30351613.367157251</v>
      </c>
      <c r="M35" s="96"/>
      <c r="N35" s="220">
        <f t="shared" si="11"/>
        <v>3172389.7512817145</v>
      </c>
      <c r="O35" s="276">
        <f t="shared" si="12"/>
        <v>900536.31089937151</v>
      </c>
      <c r="P35" s="218">
        <f t="shared" si="13"/>
        <v>4072926.0621810863</v>
      </c>
      <c r="AB35" s="217">
        <f t="shared" si="14"/>
        <v>0.28573019806634603</v>
      </c>
      <c r="AC35" s="217">
        <f t="shared" si="15"/>
        <v>0.28573019806634603</v>
      </c>
      <c r="AD35" s="217">
        <f t="shared" si="16"/>
        <v>0.28573019806634603</v>
      </c>
      <c r="AE35" s="217">
        <f t="shared" si="17"/>
        <v>0.28573019806634603</v>
      </c>
      <c r="AF35" s="217">
        <f t="shared" si="18"/>
        <v>0.28573019806634603</v>
      </c>
      <c r="AG35" s="217">
        <f t="shared" si="19"/>
        <v>8.1109333547447926E-2</v>
      </c>
    </row>
    <row r="36" spans="2:33" ht="15.75" thickBot="1" x14ac:dyDescent="0.3">
      <c r="B36" s="134">
        <v>2015</v>
      </c>
      <c r="C36" s="27">
        <f t="shared" si="8"/>
        <v>5402537959.9499998</v>
      </c>
      <c r="D36" s="27">
        <f t="shared" si="8"/>
        <v>446278627.00999999</v>
      </c>
      <c r="E36" s="27"/>
      <c r="F36" s="27">
        <f>F14*HLOOKUP($B36,'[1]Bonus Jackpot Split'!$C$2:$L$54,52,0)</f>
        <v>3709360.0791246206</v>
      </c>
      <c r="G36" s="299">
        <f>G14*HLOOKUP($B36,'[1]Bonus Jackpot Split'!$C$2:$L$54,52,0)</f>
        <v>7618686.0732420105</v>
      </c>
      <c r="H36" s="27">
        <f>H14*HLOOKUP($B36,'[1]Bonus Jackpot Split'!$C$2:$L$54,52,0)</f>
        <v>15332705.878400629</v>
      </c>
      <c r="I36" s="29">
        <f t="shared" si="20"/>
        <v>22951391.95164264</v>
      </c>
      <c r="J36" s="29">
        <f t="shared" si="21"/>
        <v>26660752.030767262</v>
      </c>
      <c r="K36" s="27">
        <f>HLOOKUP($B36,'[1]Bonus Jackpot Split'!$C$2:$L$54,50,0)</f>
        <v>6887851.206089885</v>
      </c>
      <c r="L36" s="29">
        <f t="shared" si="10"/>
        <v>33548603.236857146</v>
      </c>
      <c r="M36" s="96"/>
      <c r="N36" s="220">
        <f t="shared" si="11"/>
        <v>3709360.0791246206</v>
      </c>
      <c r="O36" s="276">
        <f t="shared" si="12"/>
        <v>958319.56522964244</v>
      </c>
      <c r="P36" s="218">
        <f t="shared" si="13"/>
        <v>4667679.6443542633</v>
      </c>
      <c r="AB36" s="217">
        <f t="shared" si="14"/>
        <v>0.29430675288714403</v>
      </c>
      <c r="AC36" s="217">
        <f t="shared" si="15"/>
        <v>0.29430675288714403</v>
      </c>
      <c r="AD36" s="217">
        <f t="shared" si="16"/>
        <v>0.29430675288714403</v>
      </c>
      <c r="AE36" s="217">
        <f t="shared" si="17"/>
        <v>0.29430675288714397</v>
      </c>
      <c r="AF36" s="217">
        <f t="shared" si="18"/>
        <v>0.29430675288714403</v>
      </c>
      <c r="AG36" s="217">
        <f t="shared" si="19"/>
        <v>7.6034656505365436E-2</v>
      </c>
    </row>
    <row r="37" spans="2:33" ht="15.75" thickBot="1" x14ac:dyDescent="0.3">
      <c r="B37" s="134">
        <v>2016</v>
      </c>
      <c r="C37" s="27">
        <f t="shared" si="8"/>
        <v>5514933568.9899998</v>
      </c>
      <c r="D37" s="27">
        <f t="shared" si="8"/>
        <v>459432566.57999998</v>
      </c>
      <c r="E37" s="27"/>
      <c r="F37" s="27">
        <f>F15*HLOOKUP($B37,'[1]Bonus Jackpot Split'!$C$2:$L$54,52,0)</f>
        <v>3815494.7611797526</v>
      </c>
      <c r="G37" s="299">
        <f>G15*HLOOKUP($B37,'[1]Bonus Jackpot Split'!$C$2:$L$54,52,0)</f>
        <v>7597238.6277021579</v>
      </c>
      <c r="H37" s="27">
        <f>H15*HLOOKUP($B37,'[1]Bonus Jackpot Split'!$C$2:$L$54,52,0)</f>
        <v>16026613.775217246</v>
      </c>
      <c r="I37" s="29">
        <f t="shared" si="20"/>
        <v>23623852.402919404</v>
      </c>
      <c r="J37" s="29">
        <f t="shared" si="21"/>
        <v>27439347.164099157</v>
      </c>
      <c r="K37" s="27">
        <f>HLOOKUP($B37,'[1]Bonus Jackpot Split'!$C$2:$L$54,50,0)</f>
        <v>9310630.9517832678</v>
      </c>
      <c r="L37" s="29">
        <f t="shared" si="10"/>
        <v>36749978.115882427</v>
      </c>
      <c r="M37" s="96"/>
      <c r="N37" s="220">
        <f t="shared" si="11"/>
        <v>3815494.7611797526</v>
      </c>
      <c r="O37" s="276">
        <f t="shared" si="12"/>
        <v>1294661.4001912754</v>
      </c>
      <c r="P37" s="218">
        <f t="shared" si="13"/>
        <v>5110156.1613710281</v>
      </c>
      <c r="AB37" s="217">
        <f t="shared" si="14"/>
        <v>0.30223489789914848</v>
      </c>
      <c r="AC37" s="217">
        <f t="shared" si="15"/>
        <v>0.30223489789914848</v>
      </c>
      <c r="AD37" s="217">
        <f t="shared" si="16"/>
        <v>0.30223489789914848</v>
      </c>
      <c r="AE37" s="217">
        <f t="shared" si="17"/>
        <v>0.30223489789914848</v>
      </c>
      <c r="AF37" s="217">
        <f t="shared" si="18"/>
        <v>0.30223489789914848</v>
      </c>
      <c r="AG37" s="217">
        <f t="shared" si="19"/>
        <v>0.10255337265350906</v>
      </c>
    </row>
    <row r="38" spans="2:33" ht="15.75" thickBot="1" x14ac:dyDescent="0.3">
      <c r="B38" s="134">
        <v>2017</v>
      </c>
      <c r="C38" s="27">
        <f t="shared" si="8"/>
        <v>5468326234.6000004</v>
      </c>
      <c r="D38" s="27">
        <f t="shared" si="8"/>
        <v>444962154.55000001</v>
      </c>
      <c r="E38" s="27"/>
      <c r="F38" s="27">
        <f>F16*HLOOKUP($B38,'[1]Bonus Jackpot Split'!$C$2:$L$54,52,0)</f>
        <v>3301990.2578233089</v>
      </c>
      <c r="G38" s="299">
        <f>G16*HLOOKUP($B38,'[1]Bonus Jackpot Split'!$C$2:$L$54,52,0)</f>
        <v>6725205.0788093181</v>
      </c>
      <c r="H38" s="27">
        <f>H16*HLOOKUP($B38,'[1]Bonus Jackpot Split'!$C$2:$L$54,52,0)</f>
        <v>17514193.867780857</v>
      </c>
      <c r="I38" s="29">
        <f t="shared" si="20"/>
        <v>24239398.946590174</v>
      </c>
      <c r="J38" s="29">
        <f t="shared" si="21"/>
        <v>27541389.204413481</v>
      </c>
      <c r="K38" s="27">
        <f>HLOOKUP($B38,'[1]Bonus Jackpot Split'!$C$2:$L$54,50,0)</f>
        <v>8660220.1856699791</v>
      </c>
      <c r="L38" s="29">
        <f t="shared" si="10"/>
        <v>36201609.390083462</v>
      </c>
      <c r="M38" s="96"/>
      <c r="N38" s="220">
        <f t="shared" si="11"/>
        <v>3301990.2578233089</v>
      </c>
      <c r="O38" s="276">
        <f t="shared" si="12"/>
        <v>1038290.4969479376</v>
      </c>
      <c r="P38" s="218">
        <f t="shared" si="13"/>
        <v>4340280.7547712466</v>
      </c>
      <c r="AB38" s="217">
        <f t="shared" si="14"/>
        <v>0.2942709337694594</v>
      </c>
      <c r="AC38" s="217">
        <f t="shared" si="15"/>
        <v>0.2942709337694594</v>
      </c>
      <c r="AD38" s="217">
        <f t="shared" si="16"/>
        <v>0.2942709337694594</v>
      </c>
      <c r="AE38" s="217">
        <f t="shared" si="17"/>
        <v>0.2942709337694594</v>
      </c>
      <c r="AF38" s="217">
        <f t="shared" si="18"/>
        <v>0.2942709337694594</v>
      </c>
      <c r="AG38" s="217">
        <f t="shared" si="19"/>
        <v>9.2531682471479651E-2</v>
      </c>
    </row>
    <row r="39" spans="2:33" ht="15.75" thickBot="1" x14ac:dyDescent="0.3">
      <c r="B39" s="134">
        <v>2018</v>
      </c>
      <c r="C39" s="27">
        <f t="shared" si="8"/>
        <v>5551893797.1499996</v>
      </c>
      <c r="D39" s="27">
        <f t="shared" si="8"/>
        <v>445511202.79000002</v>
      </c>
      <c r="E39" s="27"/>
      <c r="F39" s="27">
        <f>F17*HLOOKUP($B39,'[1]Bonus Jackpot Split'!$C$2:$L$54,52,0)</f>
        <v>3419620.491253362</v>
      </c>
      <c r="G39" s="299">
        <f>G17*HLOOKUP($B39,'[1]Bonus Jackpot Split'!$C$2:$L$54,52,0)</f>
        <v>6584952.702716074</v>
      </c>
      <c r="H39" s="27">
        <f>H17*HLOOKUP($B39,'[1]Bonus Jackpot Split'!$C$2:$L$54,52,0)</f>
        <v>17317998.662683692</v>
      </c>
      <c r="I39" s="29">
        <f t="shared" si="20"/>
        <v>23902951.365399767</v>
      </c>
      <c r="J39" s="29">
        <f t="shared" si="21"/>
        <v>27322571.856653128</v>
      </c>
      <c r="K39" s="27">
        <f>HLOOKUP($B39,'[1]Bonus Jackpot Split'!$C$2:$L$54,50,0)</f>
        <v>8900457.0917367656</v>
      </c>
      <c r="L39" s="29">
        <f t="shared" si="10"/>
        <v>36223028.948389895</v>
      </c>
      <c r="M39" s="96"/>
      <c r="N39" s="220">
        <f t="shared" si="11"/>
        <v>3419620.491253362</v>
      </c>
      <c r="O39" s="276">
        <f t="shared" si="12"/>
        <v>1113957.5590506883</v>
      </c>
      <c r="P39" s="218">
        <f t="shared" si="13"/>
        <v>4533578.0503040506</v>
      </c>
      <c r="AB39" s="217">
        <f t="shared" si="14"/>
        <v>0.29075952611254685</v>
      </c>
      <c r="AC39" s="217">
        <f t="shared" si="15"/>
        <v>0.29075952611254685</v>
      </c>
      <c r="AD39" s="217">
        <f t="shared" si="16"/>
        <v>0.29075952611254685</v>
      </c>
      <c r="AE39" s="217">
        <f t="shared" si="17"/>
        <v>0.29075952611254691</v>
      </c>
      <c r="AF39" s="217">
        <f t="shared" si="18"/>
        <v>0.29075952611254685</v>
      </c>
      <c r="AG39" s="217">
        <f t="shared" si="19"/>
        <v>9.4716291707666586E-2</v>
      </c>
    </row>
    <row r="40" spans="2:33" ht="15.75" thickBot="1" x14ac:dyDescent="0.3">
      <c r="B40" s="134">
        <v>2019</v>
      </c>
      <c r="C40" s="27">
        <f t="shared" si="8"/>
        <v>5851909080.8599997</v>
      </c>
      <c r="D40" s="27">
        <f t="shared" si="8"/>
        <v>459123839.61000001</v>
      </c>
      <c r="E40" s="27"/>
      <c r="F40" s="27">
        <f>F18*HLOOKUP($B40,'[1]Bonus Jackpot Split'!$C$2:$L$54,52,0)</f>
        <v>3432003.4782623942</v>
      </c>
      <c r="G40" s="299">
        <f>G18*HLOOKUP($B40,'[1]Bonus Jackpot Split'!$C$2:$L$54,52,0)</f>
        <v>6066402.0168233663</v>
      </c>
      <c r="H40" s="27">
        <f>H18*HLOOKUP($B40,'[1]Bonus Jackpot Split'!$C$2:$L$54,52,0)</f>
        <v>14442395.75998606</v>
      </c>
      <c r="I40" s="29">
        <f t="shared" si="20"/>
        <v>20508797.776809424</v>
      </c>
      <c r="J40" s="29">
        <f t="shared" si="21"/>
        <v>23940801.255071819</v>
      </c>
      <c r="K40" s="27">
        <f>HLOOKUP($B40,'[1]Bonus Jackpot Split'!$C$2:$L$54,50,0)</f>
        <v>7587215.5702478904</v>
      </c>
      <c r="L40" s="29">
        <f t="shared" si="10"/>
        <v>31528016.825319707</v>
      </c>
      <c r="M40" s="96"/>
      <c r="N40" s="220">
        <f t="shared" si="11"/>
        <v>3432003.4782623942</v>
      </c>
      <c r="O40" s="276">
        <f t="shared" si="12"/>
        <v>1087655.7534556603</v>
      </c>
      <c r="P40" s="218">
        <f t="shared" si="13"/>
        <v>4519659.231718054</v>
      </c>
      <c r="AB40" s="217">
        <f t="shared" si="14"/>
        <v>0.26823145958841121</v>
      </c>
      <c r="AC40" s="217">
        <f t="shared" si="15"/>
        <v>0.26823145958841121</v>
      </c>
      <c r="AD40" s="217">
        <f t="shared" si="16"/>
        <v>0.26823145958841121</v>
      </c>
      <c r="AE40" s="217">
        <f t="shared" si="17"/>
        <v>0.26823145958841121</v>
      </c>
      <c r="AF40" s="217">
        <f t="shared" si="18"/>
        <v>0.26823145958841121</v>
      </c>
      <c r="AG40" s="217">
        <f t="shared" si="19"/>
        <v>8.5006758334304808E-2</v>
      </c>
    </row>
    <row r="41" spans="2:33" ht="15.75" thickBot="1" x14ac:dyDescent="0.3">
      <c r="B41" s="134">
        <v>2020</v>
      </c>
      <c r="C41" s="27">
        <f t="shared" si="8"/>
        <v>4460847923.75</v>
      </c>
      <c r="D41" s="27">
        <f t="shared" si="8"/>
        <v>339599506.88</v>
      </c>
      <c r="E41" s="27"/>
      <c r="F41" s="27">
        <f>F19*HLOOKUP($B41,'[1]Bonus Jackpot Split'!$C$2:$L$54,52,0)</f>
        <v>2055575.0278430034</v>
      </c>
      <c r="G41" s="299">
        <f>G19*HLOOKUP($B41,'[1]Bonus Jackpot Split'!$C$2:$L$54,52,0)</f>
        <v>3629240.7189458506</v>
      </c>
      <c r="H41" s="27">
        <f>H19*HLOOKUP($B41,'[1]Bonus Jackpot Split'!$C$2:$L$54,52,0)</f>
        <v>10126708.76636111</v>
      </c>
      <c r="I41" s="29">
        <f t="shared" si="20"/>
        <v>13755949.48530696</v>
      </c>
      <c r="J41" s="29">
        <f t="shared" si="21"/>
        <v>15811524.513149964</v>
      </c>
      <c r="K41" s="27">
        <f>HLOOKUP($B41,'[1]Bonus Jackpot Split'!$C$2:$L$54,50,0)</f>
        <v>0</v>
      </c>
      <c r="L41" s="29">
        <f t="shared" si="10"/>
        <v>15811524.513149964</v>
      </c>
      <c r="M41" s="96"/>
      <c r="N41" s="220">
        <f t="shared" si="11"/>
        <v>2055575.0278430034</v>
      </c>
      <c r="O41" s="276">
        <f t="shared" si="12"/>
        <v>0</v>
      </c>
      <c r="P41" s="218">
        <f t="shared" si="13"/>
        <v>2055575.0278430034</v>
      </c>
      <c r="AB41" s="217">
        <f t="shared" si="14"/>
        <v>0.23681499133121153</v>
      </c>
      <c r="AC41" s="217">
        <f t="shared" si="15"/>
        <v>0.23681499133121153</v>
      </c>
      <c r="AD41" s="217">
        <f t="shared" si="16"/>
        <v>0.23681499133121153</v>
      </c>
      <c r="AE41" s="217">
        <f t="shared" si="17"/>
        <v>0.23681499133121153</v>
      </c>
      <c r="AF41" s="217">
        <f t="shared" si="18"/>
        <v>0.23681499133121156</v>
      </c>
      <c r="AG41" s="217">
        <f t="shared" si="19"/>
        <v>0</v>
      </c>
    </row>
    <row r="42" spans="2:33" ht="15.75" thickBot="1" x14ac:dyDescent="0.3">
      <c r="B42" s="134">
        <v>2021</v>
      </c>
      <c r="C42" s="27">
        <f t="shared" ref="C42:D42" si="22">C20</f>
        <v>1962426836.3299999</v>
      </c>
      <c r="D42" s="27">
        <f t="shared" si="22"/>
        <v>158226941.55000001</v>
      </c>
      <c r="E42" s="27"/>
      <c r="F42" s="27">
        <f>F20*HLOOKUP($B42,'[1]Bonus Jackpot Split'!$C$2:$L$54,52,0)</f>
        <v>855142.61991568923</v>
      </c>
      <c r="G42" s="299">
        <f>G20*HLOOKUP($B42,'[1]Bonus Jackpot Split'!$C$2:$L$54,52,0)</f>
        <v>246438.13620792568</v>
      </c>
      <c r="H42" s="27">
        <f>H20*HLOOKUP($B42,'[1]Bonus Jackpot Split'!$C$2:$L$54,52,0)</f>
        <v>3519927.6195743862</v>
      </c>
      <c r="I42" s="29">
        <f t="shared" si="20"/>
        <v>3766365.7557823118</v>
      </c>
      <c r="J42" s="29">
        <f t="shared" si="21"/>
        <v>4621508.3756980011</v>
      </c>
      <c r="K42" s="27">
        <f>HLOOKUP($B42,'[1]Bonus Jackpot Split'!$C$2:$L$54,50,0)</f>
        <v>0</v>
      </c>
      <c r="L42" s="29">
        <f t="shared" si="10"/>
        <v>4621508.3756980011</v>
      </c>
      <c r="M42" s="221"/>
      <c r="N42" s="220">
        <f t="shared" si="11"/>
        <v>855142.61991568923</v>
      </c>
      <c r="O42" s="276">
        <f t="shared" si="12"/>
        <v>0</v>
      </c>
      <c r="P42" s="218">
        <f t="shared" si="13"/>
        <v>855142.61991568923</v>
      </c>
      <c r="AB42" s="217">
        <f t="shared" si="14"/>
        <v>0.30723482675961983</v>
      </c>
      <c r="AC42" s="217">
        <f t="shared" si="15"/>
        <v>0.30723482675961983</v>
      </c>
      <c r="AD42" s="217">
        <f t="shared" si="16"/>
        <v>0.30723482675961983</v>
      </c>
      <c r="AE42" s="217">
        <f t="shared" si="17"/>
        <v>0.30723482675961983</v>
      </c>
      <c r="AF42" s="217">
        <f t="shared" si="18"/>
        <v>0.30723482675961988</v>
      </c>
      <c r="AG42" s="217">
        <f t="shared" si="19"/>
        <v>0</v>
      </c>
    </row>
    <row r="43" spans="2:33" ht="15.75" hidden="1" outlineLevel="1" thickBot="1" x14ac:dyDescent="0.3">
      <c r="B43" s="135" t="s">
        <v>246</v>
      </c>
      <c r="C43" s="132">
        <f>SUM(C26:C32)</f>
        <v>31457250430.139999</v>
      </c>
      <c r="D43" s="132">
        <f>SUM(D26:D32)</f>
        <v>2659585944.8499999</v>
      </c>
      <c r="E43" s="131"/>
      <c r="F43" s="132">
        <f t="shared" ref="F43:L43" si="23">SUM(F26:F32)</f>
        <v>0</v>
      </c>
      <c r="G43" s="132">
        <f t="shared" si="23"/>
        <v>51139320.830265194</v>
      </c>
      <c r="H43" s="132">
        <f t="shared" si="23"/>
        <v>51184755.078509912</v>
      </c>
      <c r="I43" s="132">
        <f t="shared" si="23"/>
        <v>102324075.90877512</v>
      </c>
      <c r="J43" s="132">
        <f t="shared" si="23"/>
        <v>102324075.90877512</v>
      </c>
      <c r="K43" s="132">
        <f t="shared" si="23"/>
        <v>41970437.611829996</v>
      </c>
      <c r="L43" s="132">
        <f t="shared" si="23"/>
        <v>144294513.52060512</v>
      </c>
      <c r="N43" s="132">
        <f t="shared" si="11"/>
        <v>0</v>
      </c>
      <c r="O43" s="132">
        <f t="shared" si="12"/>
        <v>0</v>
      </c>
      <c r="P43" s="132">
        <f t="shared" si="13"/>
        <v>0</v>
      </c>
      <c r="Q43" s="106"/>
      <c r="R43" s="106"/>
      <c r="S43" s="106"/>
    </row>
    <row r="44" spans="2:33" ht="15.75" collapsed="1" thickBot="1" x14ac:dyDescent="0.3">
      <c r="B44" s="135" t="s">
        <v>228</v>
      </c>
      <c r="C44" s="132">
        <f>SUM(C33:C42)</f>
        <v>49614659945.209999</v>
      </c>
      <c r="D44" s="132">
        <f>SUM(D33:D42)</f>
        <v>4075556656.2400007</v>
      </c>
      <c r="E44" s="131"/>
      <c r="F44" s="132">
        <f t="shared" ref="F44:L44" si="24">SUM(F33:F42)</f>
        <v>25932545.825048871</v>
      </c>
      <c r="G44" s="132">
        <f t="shared" si="24"/>
        <v>60562207.676738173</v>
      </c>
      <c r="H44" s="132">
        <f t="shared" si="24"/>
        <v>127145919.16255043</v>
      </c>
      <c r="I44" s="132">
        <f t="shared" si="24"/>
        <v>187708126.83928859</v>
      </c>
      <c r="J44" s="132">
        <f t="shared" si="24"/>
        <v>213640672.66433749</v>
      </c>
      <c r="K44" s="132">
        <f t="shared" si="24"/>
        <v>58975348.723668203</v>
      </c>
      <c r="L44" s="132">
        <f t="shared" si="24"/>
        <v>272616021.38800567</v>
      </c>
      <c r="N44" s="132">
        <f>SUM(N34:N42)</f>
        <v>25932545.825048871</v>
      </c>
      <c r="O44" s="132">
        <f>SUM(O34:O42)</f>
        <v>6966079.4204728529</v>
      </c>
      <c r="P44" s="132">
        <f>SUM(P34:P42)</f>
        <v>32898625.245521724</v>
      </c>
    </row>
    <row r="45" spans="2:33" s="56" customFormat="1" x14ac:dyDescent="0.25">
      <c r="B45" s="209"/>
      <c r="C45" s="129"/>
      <c r="D45" s="129"/>
      <c r="E45" s="129"/>
      <c r="F45" s="129"/>
      <c r="G45" s="129"/>
      <c r="H45" s="129"/>
      <c r="I45" s="129"/>
      <c r="J45" s="129"/>
      <c r="K45" s="129"/>
      <c r="L45" s="129"/>
    </row>
    <row r="46" spans="2:33" s="56" customFormat="1" x14ac:dyDescent="0.25">
      <c r="B46" s="216" t="s">
        <v>245</v>
      </c>
      <c r="C46" s="129"/>
      <c r="D46" s="129"/>
      <c r="F46" s="129"/>
      <c r="G46" s="129"/>
      <c r="H46" s="129"/>
      <c r="I46" s="129"/>
      <c r="J46" s="129"/>
      <c r="K46" s="129"/>
      <c r="L46" s="129"/>
      <c r="Q46" s="214"/>
      <c r="R46" s="214"/>
      <c r="S46" s="214"/>
    </row>
    <row r="47" spans="2:33" s="56" customFormat="1" x14ac:dyDescent="0.25">
      <c r="B47" s="300" t="s">
        <v>284</v>
      </c>
      <c r="C47" s="277"/>
      <c r="D47" s="129"/>
      <c r="F47" s="129"/>
      <c r="G47" s="129"/>
      <c r="H47" s="129"/>
      <c r="I47" s="129"/>
      <c r="J47" s="129"/>
      <c r="K47" s="129"/>
      <c r="L47" s="129"/>
      <c r="Q47" s="214"/>
      <c r="R47" s="214"/>
      <c r="S47" s="214"/>
    </row>
    <row r="48" spans="2:33" s="56" customFormat="1" x14ac:dyDescent="0.25">
      <c r="B48" s="301" t="s">
        <v>288</v>
      </c>
      <c r="C48" s="277"/>
      <c r="D48" s="129"/>
      <c r="F48" s="129"/>
      <c r="G48" s="129"/>
      <c r="H48" s="129"/>
      <c r="I48" s="129"/>
      <c r="J48" s="129"/>
      <c r="K48" s="129"/>
      <c r="L48" s="129"/>
      <c r="Q48" s="214"/>
      <c r="R48" s="214"/>
      <c r="S48" s="214"/>
    </row>
    <row r="49" spans="2:19" s="56" customFormat="1" x14ac:dyDescent="0.25">
      <c r="B49" s="59" t="s">
        <v>283</v>
      </c>
      <c r="C49" s="277"/>
      <c r="D49" s="129"/>
      <c r="F49" s="129"/>
      <c r="G49" s="129"/>
      <c r="H49" s="129"/>
      <c r="I49" s="129"/>
      <c r="J49" s="129"/>
      <c r="K49" s="129"/>
      <c r="L49" s="129"/>
      <c r="Q49" s="214"/>
      <c r="R49" s="214"/>
      <c r="S49" s="214"/>
    </row>
    <row r="50" spans="2:19" s="56" customFormat="1" x14ac:dyDescent="0.25">
      <c r="B50" s="215" t="s">
        <v>291</v>
      </c>
      <c r="C50" s="129"/>
      <c r="D50" s="129"/>
      <c r="F50" s="129"/>
      <c r="G50" s="129"/>
      <c r="H50" s="129"/>
      <c r="I50" s="129"/>
      <c r="J50" s="129"/>
      <c r="K50" s="129"/>
      <c r="L50" s="129"/>
      <c r="Q50" s="214"/>
      <c r="R50" s="214"/>
      <c r="S50" s="214"/>
    </row>
    <row r="51" spans="2:19" s="56" customFormat="1" x14ac:dyDescent="0.25">
      <c r="B51" s="213" t="s">
        <v>285</v>
      </c>
      <c r="C51" s="129"/>
      <c r="D51" s="129"/>
      <c r="F51" s="129"/>
      <c r="G51" s="129"/>
      <c r="H51" s="129"/>
      <c r="I51" s="129"/>
      <c r="J51" s="129"/>
      <c r="K51" s="129"/>
      <c r="L51" s="129"/>
      <c r="Q51" s="214"/>
      <c r="R51" s="214"/>
      <c r="S51" s="214"/>
    </row>
    <row r="52" spans="2:19" s="56" customFormat="1" x14ac:dyDescent="0.25">
      <c r="B52" s="279" t="s">
        <v>286</v>
      </c>
      <c r="C52" s="277"/>
      <c r="D52" s="277"/>
      <c r="E52" s="278"/>
      <c r="F52" s="277"/>
      <c r="G52" s="277"/>
      <c r="H52" s="277"/>
      <c r="I52" s="277"/>
      <c r="J52" s="277"/>
      <c r="K52" s="277"/>
      <c r="L52" s="277"/>
      <c r="M52" s="278"/>
      <c r="N52" s="278"/>
      <c r="O52" s="278"/>
      <c r="Q52" s="214"/>
      <c r="R52" s="214"/>
      <c r="S52" s="214"/>
    </row>
    <row r="53" spans="2:19" s="56" customFormat="1" x14ac:dyDescent="0.25">
      <c r="B53" s="279" t="s">
        <v>289</v>
      </c>
      <c r="C53" s="277"/>
      <c r="D53" s="277"/>
      <c r="E53" s="278"/>
      <c r="F53" s="277"/>
      <c r="G53" s="277"/>
      <c r="H53" s="277"/>
      <c r="I53" s="277"/>
      <c r="J53" s="277"/>
      <c r="K53" s="277"/>
      <c r="L53" s="277"/>
      <c r="M53" s="278"/>
      <c r="N53" s="278"/>
      <c r="O53" s="278"/>
      <c r="Q53" s="214"/>
      <c r="R53" s="214"/>
      <c r="S53" s="214"/>
    </row>
    <row r="54" spans="2:19" s="56" customFormat="1" x14ac:dyDescent="0.25">
      <c r="B54" s="279" t="s">
        <v>290</v>
      </c>
      <c r="C54" s="277"/>
      <c r="D54" s="277"/>
      <c r="E54" s="278"/>
      <c r="F54" s="277"/>
      <c r="G54" s="277"/>
      <c r="H54" s="277"/>
      <c r="I54" s="277"/>
      <c r="J54" s="277"/>
      <c r="K54" s="277"/>
      <c r="L54" s="277"/>
      <c r="M54" s="278"/>
      <c r="N54" s="278"/>
      <c r="O54" s="278"/>
      <c r="Q54" s="214"/>
      <c r="R54" s="214"/>
      <c r="S54" s="214"/>
    </row>
    <row r="55" spans="2:19" s="56" customFormat="1" x14ac:dyDescent="0.25">
      <c r="B55" s="215" t="s">
        <v>292</v>
      </c>
      <c r="C55" s="129"/>
      <c r="D55" s="129"/>
      <c r="F55" s="129"/>
      <c r="G55" s="129"/>
      <c r="H55" s="129"/>
      <c r="I55" s="129"/>
      <c r="J55" s="129"/>
      <c r="K55" s="129"/>
      <c r="L55" s="129"/>
      <c r="Q55" s="214"/>
      <c r="R55" s="214"/>
      <c r="S55" s="214"/>
    </row>
    <row r="56" spans="2:19" s="56" customFormat="1" x14ac:dyDescent="0.25">
      <c r="B56" s="215" t="s">
        <v>293</v>
      </c>
      <c r="C56" s="129"/>
      <c r="D56" s="129"/>
      <c r="F56" s="129"/>
      <c r="G56" s="129"/>
      <c r="H56" s="129"/>
      <c r="I56" s="129"/>
      <c r="J56" s="129"/>
      <c r="K56" s="129"/>
      <c r="L56" s="129"/>
      <c r="Q56" s="214"/>
      <c r="R56" s="214"/>
      <c r="S56" s="214"/>
    </row>
    <row r="57" spans="2:19" s="56" customFormat="1" x14ac:dyDescent="0.25">
      <c r="B57" s="213" t="s">
        <v>236</v>
      </c>
      <c r="C57" s="129"/>
      <c r="D57" s="129"/>
      <c r="F57" s="129"/>
      <c r="G57" s="129"/>
      <c r="H57" s="129"/>
      <c r="I57" s="129"/>
      <c r="J57" s="129"/>
      <c r="K57" s="129"/>
      <c r="L57" s="129"/>
      <c r="Q57" s="214"/>
      <c r="R57" s="214"/>
      <c r="S57" s="214"/>
    </row>
    <row r="58" spans="2:19" s="56" customFormat="1" x14ac:dyDescent="0.25">
      <c r="B58" s="215" t="s">
        <v>294</v>
      </c>
      <c r="C58" s="129"/>
      <c r="D58" s="129"/>
      <c r="F58" s="129"/>
      <c r="G58" s="129"/>
      <c r="H58" s="129"/>
      <c r="I58" s="129"/>
      <c r="J58" s="129"/>
      <c r="K58" s="129"/>
      <c r="L58" s="129"/>
      <c r="Q58" s="214"/>
      <c r="R58" s="214"/>
      <c r="S58" s="214"/>
    </row>
    <row r="59" spans="2:19" s="56" customFormat="1" x14ac:dyDescent="0.25">
      <c r="B59" s="215" t="s">
        <v>295</v>
      </c>
      <c r="C59" s="129"/>
      <c r="D59" s="129"/>
      <c r="F59" s="129"/>
      <c r="G59" s="129"/>
      <c r="H59" s="129"/>
      <c r="I59" s="129"/>
      <c r="J59" s="129"/>
      <c r="K59" s="129"/>
      <c r="L59" s="129"/>
      <c r="Q59" s="214"/>
      <c r="R59" s="214"/>
      <c r="S59" s="214"/>
    </row>
    <row r="60" spans="2:19" s="56" customFormat="1" hidden="1" outlineLevel="1" x14ac:dyDescent="0.25">
      <c r="B60" s="212" t="s">
        <v>287</v>
      </c>
      <c r="C60" s="209"/>
      <c r="D60" s="129"/>
      <c r="E60" s="129"/>
      <c r="G60" s="129"/>
      <c r="H60" s="129"/>
      <c r="I60" s="129"/>
      <c r="J60" s="129"/>
      <c r="K60" s="129"/>
      <c r="L60" s="129"/>
      <c r="M60" s="129"/>
    </row>
    <row r="61" spans="2:19" s="56" customFormat="1" hidden="1" outlineLevel="1" x14ac:dyDescent="0.25">
      <c r="B61" s="211" t="s">
        <v>232</v>
      </c>
      <c r="C61" s="209"/>
      <c r="D61" s="129"/>
      <c r="E61" s="129"/>
      <c r="G61" s="129"/>
      <c r="H61" s="129"/>
      <c r="I61" s="129"/>
      <c r="J61" s="129"/>
      <c r="K61" s="129"/>
      <c r="L61" s="129"/>
      <c r="M61" s="129"/>
    </row>
    <row r="62" spans="2:19" s="56" customFormat="1" hidden="1" outlineLevel="1" x14ac:dyDescent="0.25">
      <c r="B62" s="210" t="s">
        <v>231</v>
      </c>
      <c r="C62" s="209"/>
      <c r="D62" s="129"/>
      <c r="E62" s="129"/>
      <c r="G62" s="129"/>
      <c r="H62" s="129"/>
      <c r="I62" s="129"/>
      <c r="J62" s="129"/>
      <c r="K62" s="129"/>
      <c r="L62" s="129"/>
      <c r="M62" s="129"/>
    </row>
    <row r="63" spans="2:19" s="56" customFormat="1" hidden="1" outlineLevel="1" x14ac:dyDescent="0.25">
      <c r="B63" s="210" t="s">
        <v>230</v>
      </c>
      <c r="C63" s="209"/>
      <c r="D63" s="129"/>
      <c r="E63" s="129"/>
      <c r="G63" s="129"/>
      <c r="H63" s="129"/>
      <c r="I63" s="129"/>
      <c r="J63" s="129"/>
      <c r="K63" s="129"/>
      <c r="L63" s="129"/>
      <c r="M63" s="129"/>
    </row>
    <row r="64" spans="2:19" s="56" customFormat="1" hidden="1" outlineLevel="1" x14ac:dyDescent="0.25">
      <c r="B64" s="210" t="s">
        <v>229</v>
      </c>
      <c r="C64" s="209"/>
      <c r="D64" s="129"/>
      <c r="E64" s="129"/>
      <c r="G64" s="129"/>
      <c r="H64" s="129"/>
      <c r="I64" s="129"/>
      <c r="J64" s="129"/>
      <c r="K64" s="129"/>
      <c r="L64" s="129"/>
      <c r="M64" s="129"/>
    </row>
    <row r="65" spans="2:28" s="56" customFormat="1" hidden="1" outlineLevel="1" x14ac:dyDescent="0.25">
      <c r="C65" s="209"/>
      <c r="D65" s="129"/>
      <c r="E65" s="129"/>
      <c r="G65" s="129"/>
      <c r="H65" s="129"/>
      <c r="I65" s="129"/>
      <c r="J65" s="129"/>
      <c r="K65" s="129"/>
      <c r="L65" s="129"/>
      <c r="M65" s="129"/>
    </row>
    <row r="66" spans="2:28" ht="15.75" collapsed="1" thickBot="1" x14ac:dyDescent="0.3"/>
    <row r="67" spans="2:28" ht="21.75" thickBot="1" x14ac:dyDescent="0.3">
      <c r="B67" s="22" t="s">
        <v>156</v>
      </c>
      <c r="C67" s="22" t="s">
        <v>75</v>
      </c>
      <c r="D67" s="23" t="s">
        <v>76</v>
      </c>
      <c r="F67" s="208" t="s">
        <v>77</v>
      </c>
      <c r="G67" s="296" t="s">
        <v>278</v>
      </c>
      <c r="H67" s="296" t="s">
        <v>279</v>
      </c>
      <c r="I67" s="296" t="s">
        <v>280</v>
      </c>
      <c r="J67" s="208" t="s">
        <v>81</v>
      </c>
      <c r="K67" s="208" t="s">
        <v>16</v>
      </c>
      <c r="L67" s="208" t="s">
        <v>19</v>
      </c>
      <c r="M67" s="208" t="s">
        <v>22</v>
      </c>
      <c r="N67" s="208" t="s">
        <v>41</v>
      </c>
      <c r="O67" s="208" t="s">
        <v>44</v>
      </c>
      <c r="P67" s="208" t="s">
        <v>47</v>
      </c>
      <c r="Q67" s="208" t="s">
        <v>15</v>
      </c>
      <c r="R67" s="208" t="s">
        <v>56</v>
      </c>
      <c r="S67" s="208" t="s">
        <v>117</v>
      </c>
      <c r="T67" s="208" t="s">
        <v>134</v>
      </c>
      <c r="U67" s="208" t="s">
        <v>138</v>
      </c>
      <c r="V67" s="208" t="s">
        <v>136</v>
      </c>
      <c r="W67" s="208" t="s">
        <v>135</v>
      </c>
      <c r="X67" s="208" t="s">
        <v>139</v>
      </c>
      <c r="Y67" s="208" t="s">
        <v>277</v>
      </c>
      <c r="Z67" s="208" t="s">
        <v>91</v>
      </c>
      <c r="AA67" s="26" t="s">
        <v>93</v>
      </c>
    </row>
    <row r="68" spans="2:28" ht="15.75" hidden="1" customHeight="1" outlineLevel="1" thickBot="1" x14ac:dyDescent="0.3">
      <c r="B68" s="269" t="s">
        <v>163</v>
      </c>
      <c r="C68" s="136">
        <v>2005</v>
      </c>
      <c r="D68" s="94">
        <v>3967418646.04</v>
      </c>
      <c r="F68" s="207">
        <v>323348200.51999998</v>
      </c>
      <c r="G68" s="95">
        <v>0</v>
      </c>
      <c r="H68" s="95"/>
      <c r="I68" s="95"/>
      <c r="J68" s="206">
        <v>25396508.280000001</v>
      </c>
      <c r="K68" s="94">
        <v>0</v>
      </c>
      <c r="L68" s="94">
        <v>0</v>
      </c>
      <c r="M68" s="94">
        <v>6962530.0499999998</v>
      </c>
      <c r="N68" s="94">
        <v>15681679.42</v>
      </c>
      <c r="O68" s="94">
        <v>796.4</v>
      </c>
      <c r="P68" s="94">
        <v>0</v>
      </c>
      <c r="Q68" s="94">
        <v>2865.7</v>
      </c>
      <c r="R68" s="94">
        <v>0</v>
      </c>
      <c r="S68" s="94">
        <v>0</v>
      </c>
      <c r="T68" s="206">
        <v>12237371.219999999</v>
      </c>
      <c r="U68" s="94">
        <v>213291.55</v>
      </c>
      <c r="V68" s="94">
        <v>507714.65</v>
      </c>
      <c r="W68" s="94">
        <v>580233.84</v>
      </c>
      <c r="X68" s="94">
        <v>640388.36</v>
      </c>
      <c r="Y68" s="94"/>
      <c r="Z68" s="95">
        <v>62223379.469999999</v>
      </c>
      <c r="AA68" s="95">
        <f t="shared" ref="AA68:AA74" si="25">+G68+Z68</f>
        <v>62223379.469999999</v>
      </c>
      <c r="AB68" s="18">
        <f t="shared" ref="AB68:AB74" si="26">+Z68-SUM(J68:X68)</f>
        <v>0</v>
      </c>
    </row>
    <row r="69" spans="2:28" ht="15.75" hidden="1" customHeight="1" outlineLevel="1" thickBot="1" x14ac:dyDescent="0.3">
      <c r="B69" s="270"/>
      <c r="C69" s="136">
        <v>2006</v>
      </c>
      <c r="D69" s="94">
        <v>4366686874.21</v>
      </c>
      <c r="F69" s="207">
        <v>364084420.60000002</v>
      </c>
      <c r="G69" s="95">
        <v>0</v>
      </c>
      <c r="H69" s="95"/>
      <c r="I69" s="95"/>
      <c r="J69" s="206">
        <v>26747347.530000001</v>
      </c>
      <c r="K69" s="94">
        <v>0</v>
      </c>
      <c r="L69" s="94">
        <v>0</v>
      </c>
      <c r="M69" s="94">
        <v>7076678.1399999997</v>
      </c>
      <c r="N69" s="94">
        <v>19153429.449999999</v>
      </c>
      <c r="O69" s="94">
        <v>1753.26</v>
      </c>
      <c r="P69" s="94">
        <v>0</v>
      </c>
      <c r="Q69" s="94">
        <v>98.77</v>
      </c>
      <c r="R69" s="94">
        <v>0</v>
      </c>
      <c r="S69" s="94">
        <v>0</v>
      </c>
      <c r="T69" s="206">
        <v>12266377.43</v>
      </c>
      <c r="U69" s="94">
        <v>285653.92</v>
      </c>
      <c r="V69" s="94">
        <v>418983.99</v>
      </c>
      <c r="W69" s="94">
        <v>606594.77</v>
      </c>
      <c r="X69" s="94">
        <v>587037.49</v>
      </c>
      <c r="Y69" s="94"/>
      <c r="Z69" s="95">
        <v>67143954.75</v>
      </c>
      <c r="AA69" s="95">
        <f t="shared" si="25"/>
        <v>67143954.75</v>
      </c>
      <c r="AB69" s="18">
        <f t="shared" si="26"/>
        <v>0</v>
      </c>
    </row>
    <row r="70" spans="2:28" ht="15.75" hidden="1" customHeight="1" outlineLevel="1" thickBot="1" x14ac:dyDescent="0.3">
      <c r="B70" s="270"/>
      <c r="C70" s="136">
        <v>2007</v>
      </c>
      <c r="D70" s="94">
        <v>4352968473.7200003</v>
      </c>
      <c r="F70" s="207">
        <v>367531498.35000002</v>
      </c>
      <c r="G70" s="95">
        <v>0</v>
      </c>
      <c r="H70" s="95"/>
      <c r="I70" s="95"/>
      <c r="J70" s="206">
        <v>35509848.439999998</v>
      </c>
      <c r="K70" s="94">
        <v>0</v>
      </c>
      <c r="L70" s="94">
        <v>0</v>
      </c>
      <c r="M70" s="94">
        <v>6610009.5499999998</v>
      </c>
      <c r="N70" s="94">
        <v>22442481.030000001</v>
      </c>
      <c r="O70" s="94">
        <v>171239.45</v>
      </c>
      <c r="P70" s="94">
        <v>0</v>
      </c>
      <c r="Q70" s="94">
        <v>26.32</v>
      </c>
      <c r="R70" s="94">
        <v>0</v>
      </c>
      <c r="S70" s="94">
        <v>0</v>
      </c>
      <c r="T70" s="206">
        <v>6078379.6000000015</v>
      </c>
      <c r="U70" s="94">
        <v>339149.69</v>
      </c>
      <c r="V70" s="94">
        <v>270566.62</v>
      </c>
      <c r="W70" s="94">
        <v>237411.12</v>
      </c>
      <c r="X70" s="94">
        <v>181646.26</v>
      </c>
      <c r="Y70" s="94"/>
      <c r="Z70" s="95">
        <v>71840758.079999998</v>
      </c>
      <c r="AA70" s="95">
        <f t="shared" si="25"/>
        <v>71840758.079999998</v>
      </c>
      <c r="AB70" s="18">
        <f t="shared" si="26"/>
        <v>0</v>
      </c>
    </row>
    <row r="71" spans="2:28" ht="15.75" hidden="1" customHeight="1" outlineLevel="1" thickBot="1" x14ac:dyDescent="0.3">
      <c r="B71" s="270"/>
      <c r="C71" s="136">
        <v>2008</v>
      </c>
      <c r="D71" s="94">
        <v>4445573703.5799999</v>
      </c>
      <c r="F71" s="207">
        <v>375232895.51999998</v>
      </c>
      <c r="G71" s="95">
        <v>0</v>
      </c>
      <c r="H71" s="95"/>
      <c r="I71" s="95"/>
      <c r="J71" s="206">
        <v>38589682.640000001</v>
      </c>
      <c r="K71" s="94">
        <v>0</v>
      </c>
      <c r="L71" s="94">
        <v>0</v>
      </c>
      <c r="M71" s="94">
        <v>6918767.6600000001</v>
      </c>
      <c r="N71" s="94">
        <v>21046201.260000002</v>
      </c>
      <c r="O71" s="94">
        <v>1017.72</v>
      </c>
      <c r="P71" s="94">
        <v>0</v>
      </c>
      <c r="Q71" s="94">
        <v>24.06</v>
      </c>
      <c r="R71" s="94">
        <v>0</v>
      </c>
      <c r="S71" s="94">
        <v>0</v>
      </c>
      <c r="T71" s="206">
        <v>1727219.0600000024</v>
      </c>
      <c r="U71" s="94">
        <v>372557.19</v>
      </c>
      <c r="V71" s="94">
        <v>0.02</v>
      </c>
      <c r="W71" s="94">
        <v>0</v>
      </c>
      <c r="X71" s="94">
        <v>6913.01</v>
      </c>
      <c r="Y71" s="94"/>
      <c r="Z71" s="95">
        <v>68662382.62000002</v>
      </c>
      <c r="AA71" s="95">
        <f t="shared" si="25"/>
        <v>68662382.62000002</v>
      </c>
      <c r="AB71" s="18">
        <f t="shared" si="26"/>
        <v>0</v>
      </c>
    </row>
    <row r="72" spans="2:28" ht="15.75" hidden="1" customHeight="1" outlineLevel="1" thickBot="1" x14ac:dyDescent="0.3">
      <c r="B72" s="270"/>
      <c r="C72" s="136">
        <v>2009</v>
      </c>
      <c r="D72" s="94">
        <v>4613581411.3599997</v>
      </c>
      <c r="F72" s="207">
        <v>387899089.68000001</v>
      </c>
      <c r="G72" s="95">
        <v>0</v>
      </c>
      <c r="H72" s="95"/>
      <c r="I72" s="95"/>
      <c r="J72" s="206">
        <v>37285465.100000001</v>
      </c>
      <c r="K72" s="94">
        <v>0</v>
      </c>
      <c r="L72" s="94">
        <v>0</v>
      </c>
      <c r="M72" s="94">
        <v>3683523.53</v>
      </c>
      <c r="N72" s="94">
        <v>22435844.100000001</v>
      </c>
      <c r="O72" s="94">
        <v>2252.06</v>
      </c>
      <c r="P72" s="94">
        <v>0</v>
      </c>
      <c r="Q72" s="94">
        <v>11.57</v>
      </c>
      <c r="R72" s="94">
        <v>0</v>
      </c>
      <c r="S72" s="94">
        <v>0</v>
      </c>
      <c r="T72" s="206">
        <v>1580750.7299999967</v>
      </c>
      <c r="U72" s="94">
        <v>392861.34</v>
      </c>
      <c r="V72" s="94">
        <v>0</v>
      </c>
      <c r="W72" s="94">
        <v>0</v>
      </c>
      <c r="X72" s="94">
        <v>3978.45</v>
      </c>
      <c r="Y72" s="94"/>
      <c r="Z72" s="95">
        <v>65384686.88000001</v>
      </c>
      <c r="AA72" s="95">
        <f t="shared" si="25"/>
        <v>65384686.88000001</v>
      </c>
      <c r="AB72" s="18">
        <f t="shared" si="26"/>
        <v>0</v>
      </c>
    </row>
    <row r="73" spans="2:28" ht="15.75" hidden="1" customHeight="1" outlineLevel="1" thickBot="1" x14ac:dyDescent="0.3">
      <c r="B73" s="270"/>
      <c r="C73" s="136">
        <v>2010</v>
      </c>
      <c r="D73" s="94">
        <v>4723013429.3599997</v>
      </c>
      <c r="F73" s="207">
        <v>407073950.49000001</v>
      </c>
      <c r="G73" s="95">
        <v>0</v>
      </c>
      <c r="H73" s="95"/>
      <c r="I73" s="95"/>
      <c r="J73" s="206">
        <v>35239278.869999997</v>
      </c>
      <c r="K73" s="94">
        <v>0</v>
      </c>
      <c r="L73" s="94">
        <v>0</v>
      </c>
      <c r="M73" s="94">
        <v>2074728.59</v>
      </c>
      <c r="N73" s="94">
        <v>23557720.710000001</v>
      </c>
      <c r="O73" s="94">
        <v>1532.32</v>
      </c>
      <c r="P73" s="94">
        <v>0</v>
      </c>
      <c r="Q73" s="94">
        <v>213931.8</v>
      </c>
      <c r="R73" s="94">
        <v>0</v>
      </c>
      <c r="S73" s="94">
        <v>0</v>
      </c>
      <c r="T73" s="206">
        <v>1524865.1200000048</v>
      </c>
      <c r="U73" s="94">
        <v>318298.88</v>
      </c>
      <c r="V73" s="94">
        <v>0</v>
      </c>
      <c r="W73" s="94">
        <v>0</v>
      </c>
      <c r="X73" s="94">
        <v>3313.49</v>
      </c>
      <c r="Y73" s="94"/>
      <c r="Z73" s="95">
        <v>62933669.780000009</v>
      </c>
      <c r="AA73" s="95">
        <f t="shared" si="25"/>
        <v>62933669.780000009</v>
      </c>
      <c r="AB73" s="18">
        <f t="shared" si="26"/>
        <v>0</v>
      </c>
    </row>
    <row r="74" spans="2:28" ht="15.75" hidden="1" customHeight="1" outlineLevel="1" thickBot="1" x14ac:dyDescent="0.3">
      <c r="B74" s="270"/>
      <c r="C74" s="136">
        <v>2011</v>
      </c>
      <c r="D74" s="94">
        <v>4988007891.8699999</v>
      </c>
      <c r="F74" s="207">
        <v>434415889.69</v>
      </c>
      <c r="G74" s="95">
        <v>0</v>
      </c>
      <c r="H74" s="95"/>
      <c r="I74" s="95"/>
      <c r="J74" s="206">
        <v>31704955.48</v>
      </c>
      <c r="K74" s="94">
        <v>0</v>
      </c>
      <c r="L74" s="94">
        <v>0</v>
      </c>
      <c r="M74" s="94">
        <v>1280195.29</v>
      </c>
      <c r="N74" s="94">
        <v>27089175.260000002</v>
      </c>
      <c r="O74" s="94">
        <v>212782.48</v>
      </c>
      <c r="P74" s="94">
        <v>0</v>
      </c>
      <c r="Q74" s="94">
        <v>1131064.8</v>
      </c>
      <c r="R74" s="94">
        <v>0</v>
      </c>
      <c r="S74" s="94">
        <v>0</v>
      </c>
      <c r="T74" s="206">
        <v>1260532.5399999991</v>
      </c>
      <c r="U74" s="94">
        <v>346004.7</v>
      </c>
      <c r="V74" s="94">
        <v>0</v>
      </c>
      <c r="W74" s="94">
        <v>0</v>
      </c>
      <c r="X74" s="94">
        <v>58</v>
      </c>
      <c r="Y74" s="94"/>
      <c r="Z74" s="95">
        <v>63024768.549999997</v>
      </c>
      <c r="AA74" s="95">
        <f t="shared" si="25"/>
        <v>63024768.549999997</v>
      </c>
      <c r="AB74" s="18">
        <f t="shared" si="26"/>
        <v>0</v>
      </c>
    </row>
    <row r="75" spans="2:28" ht="15.75" collapsed="1" thickBot="1" x14ac:dyDescent="0.3">
      <c r="B75" s="329" t="s">
        <v>163</v>
      </c>
      <c r="C75" s="271">
        <v>2012</v>
      </c>
      <c r="D75" s="272">
        <v>5113108047.9899998</v>
      </c>
      <c r="E75" s="273"/>
      <c r="F75" s="274">
        <f>VLOOKUP(C75,RevAudGGR!$A$6:$C$24,3,0)</f>
        <v>448653907.09000003</v>
      </c>
      <c r="G75" s="275">
        <f>'CDW BonusCubeData'!L2</f>
        <v>0</v>
      </c>
      <c r="H75" s="275">
        <v>0</v>
      </c>
      <c r="I75" s="275">
        <v>0</v>
      </c>
      <c r="J75" s="272">
        <f>'CDW BonusCubeData'!$B2</f>
        <v>29423378.050000001</v>
      </c>
      <c r="K75" s="272">
        <f>'CDW BonusCubeData'!C2</f>
        <v>47633.25</v>
      </c>
      <c r="L75" s="272">
        <f>'CDW BonusCubeData'!D2</f>
        <v>1102393.1299999999</v>
      </c>
      <c r="M75" s="272">
        <f>'CDW BonusCubeData'!E2</f>
        <v>1164440.1599999999</v>
      </c>
      <c r="N75" s="272">
        <f>'CDW BonusCubeData'!F2</f>
        <v>29672895.02</v>
      </c>
      <c r="O75" s="272">
        <f>'CDW BonusCubeData'!G2</f>
        <v>142063.82</v>
      </c>
      <c r="P75" s="272">
        <f>'CDW BonusCubeData'!H2</f>
        <v>0</v>
      </c>
      <c r="Q75" s="272">
        <f>'CDW BonusCubeData'!I2</f>
        <v>0</v>
      </c>
      <c r="R75" s="272">
        <v>0</v>
      </c>
      <c r="S75" s="272">
        <f>'CDW BonusCubeData'!J2</f>
        <v>0</v>
      </c>
      <c r="T75" s="272">
        <v>0</v>
      </c>
      <c r="U75" s="272">
        <f>'CDW BonusCubeData'!K2</f>
        <v>33550</v>
      </c>
      <c r="V75" s="272">
        <v>0</v>
      </c>
      <c r="W75" s="272">
        <v>0</v>
      </c>
      <c r="X75" s="272">
        <v>0</v>
      </c>
      <c r="Y75" s="272">
        <f>'CDW BonusCubeData'!R2</f>
        <v>95338.759999997914</v>
      </c>
      <c r="Z75" s="275">
        <f>SUM(J75:Y75)</f>
        <v>61681692.189999998</v>
      </c>
      <c r="AA75" s="275">
        <f>+G75+H75+I75+Z75</f>
        <v>61681692.189999998</v>
      </c>
      <c r="AB75" s="18"/>
    </row>
    <row r="76" spans="2:28" ht="15.75" thickBot="1" x14ac:dyDescent="0.3">
      <c r="B76" s="330"/>
      <c r="C76" s="271">
        <v>2013</v>
      </c>
      <c r="D76" s="272">
        <v>5111331229.8400002</v>
      </c>
      <c r="E76" s="273"/>
      <c r="F76" s="274">
        <f>VLOOKUP(C76,RevAudGGR!$A$6:$C$24,3,0)</f>
        <v>442092705.80000001</v>
      </c>
      <c r="G76" s="275">
        <f>[2]SN_Data!H2</f>
        <v>7397583.7925469996</v>
      </c>
      <c r="H76" s="275">
        <f>[2]SN_Data!K2</f>
        <v>0</v>
      </c>
      <c r="I76" s="275">
        <f>[2]SN_Data!I2+[2]SN_Data!J2</f>
        <v>47014.643045999997</v>
      </c>
      <c r="J76" s="272">
        <f>'CDW BonusCubeData'!$B3</f>
        <v>24588062.73</v>
      </c>
      <c r="K76" s="272">
        <f>'CDW BonusCubeData'!C3</f>
        <v>80.25</v>
      </c>
      <c r="L76" s="272">
        <f>'CDW BonusCubeData'!D3</f>
        <v>914348.45</v>
      </c>
      <c r="M76" s="272">
        <f>'CDW BonusCubeData'!E3</f>
        <v>1287695.49</v>
      </c>
      <c r="N76" s="272">
        <f>'CDW BonusCubeData'!F3</f>
        <v>34314909.68</v>
      </c>
      <c r="O76" s="272">
        <f>'CDW BonusCubeData'!G3</f>
        <v>229925.7</v>
      </c>
      <c r="P76" s="272">
        <f>'CDW BonusCubeData'!H3</f>
        <v>0</v>
      </c>
      <c r="Q76" s="272">
        <f>'CDW BonusCubeData'!I3</f>
        <v>0</v>
      </c>
      <c r="R76" s="272">
        <v>0</v>
      </c>
      <c r="S76" s="272">
        <f>'CDW BonusCubeData'!J3</f>
        <v>0</v>
      </c>
      <c r="T76" s="272">
        <v>0</v>
      </c>
      <c r="U76" s="272">
        <f>'CDW BonusCubeData'!K3</f>
        <v>150.01</v>
      </c>
      <c r="V76" s="272">
        <v>0</v>
      </c>
      <c r="W76" s="272">
        <v>0</v>
      </c>
      <c r="X76" s="272">
        <v>0</v>
      </c>
      <c r="Y76" s="272">
        <f>'CDW BonusCubeData'!R3-[2]SN_Data!N2</f>
        <v>46719.014407017268</v>
      </c>
      <c r="Z76" s="275">
        <f t="shared" ref="Z76:Z84" si="27">SUM(J76:Y76)</f>
        <v>61381891.324407011</v>
      </c>
      <c r="AA76" s="275">
        <f t="shared" ref="AA76:AA84" si="28">+G76+H76+I76+Z76</f>
        <v>68826489.760000005</v>
      </c>
      <c r="AB76" s="18"/>
    </row>
    <row r="77" spans="2:28" ht="15.75" customHeight="1" thickBot="1" x14ac:dyDescent="0.3">
      <c r="B77" s="330"/>
      <c r="C77" s="271">
        <v>2014</v>
      </c>
      <c r="D77" s="272">
        <v>5177345265.75</v>
      </c>
      <c r="E77" s="273"/>
      <c r="F77" s="274">
        <f>VLOOKUP(C77,RevAudGGR!$A$6:$C$24,3,0)</f>
        <v>431416086.17000002</v>
      </c>
      <c r="G77" s="275">
        <f>[2]SN_Data!H3</f>
        <v>8340964.7013360001</v>
      </c>
      <c r="H77" s="275">
        <f>[2]SN_Data!K3</f>
        <v>1178202.7272719999</v>
      </c>
      <c r="I77" s="275">
        <f>[2]SN_Data!I3+[2]SN_Data!J3</f>
        <v>1583578.353079</v>
      </c>
      <c r="J77" s="272">
        <f>'CDW BonusCubeData'!$B4</f>
        <v>24531885.98</v>
      </c>
      <c r="K77" s="272">
        <f>'CDW BonusCubeData'!C4</f>
        <v>25.06</v>
      </c>
      <c r="L77" s="272">
        <f>'CDW BonusCubeData'!D4</f>
        <v>874703.23</v>
      </c>
      <c r="M77" s="272">
        <f>'CDW BonusCubeData'!E4</f>
        <v>2695798.22</v>
      </c>
      <c r="N77" s="272">
        <f>'CDW BonusCubeData'!F4</f>
        <v>42931442.539999999</v>
      </c>
      <c r="O77" s="272">
        <f>'CDW BonusCubeData'!G4</f>
        <v>75705.320000000007</v>
      </c>
      <c r="P77" s="272">
        <f>'CDW BonusCubeData'!H4</f>
        <v>0</v>
      </c>
      <c r="Q77" s="272">
        <f>'CDW BonusCubeData'!I4</f>
        <v>0</v>
      </c>
      <c r="R77" s="272">
        <v>0</v>
      </c>
      <c r="S77" s="272">
        <f>'CDW BonusCubeData'!J4</f>
        <v>75</v>
      </c>
      <c r="T77" s="272">
        <v>0</v>
      </c>
      <c r="U77" s="272">
        <f>'CDW BonusCubeData'!K4</f>
        <v>50</v>
      </c>
      <c r="V77" s="272">
        <v>0</v>
      </c>
      <c r="W77" s="272">
        <v>0</v>
      </c>
      <c r="X77" s="272">
        <v>0</v>
      </c>
      <c r="Y77" s="272">
        <f>'CDW BonusCubeData'!R4-[2]SN_Data!N3</f>
        <v>525689.35831299797</v>
      </c>
      <c r="Z77" s="275">
        <f t="shared" si="27"/>
        <v>71635374.708312988</v>
      </c>
      <c r="AA77" s="275">
        <f t="shared" si="28"/>
        <v>82738120.489999995</v>
      </c>
      <c r="AB77" s="96"/>
    </row>
    <row r="78" spans="2:28" ht="15.75" thickBot="1" x14ac:dyDescent="0.3">
      <c r="B78" s="330"/>
      <c r="C78" s="271">
        <v>2015</v>
      </c>
      <c r="D78" s="272">
        <v>5402537959.9499998</v>
      </c>
      <c r="E78" s="273"/>
      <c r="F78" s="274">
        <f>VLOOKUP(C78,RevAudGGR!$A$6:$C$24,3,0)</f>
        <v>446232358.93000001</v>
      </c>
      <c r="G78" s="275">
        <f>[2]SN_Data!H4</f>
        <v>8783508.084361</v>
      </c>
      <c r="H78" s="275">
        <f>[2]SN_Data!K4</f>
        <v>2084210.5</v>
      </c>
      <c r="I78" s="275">
        <f>[2]SN_Data!I4+[2]SN_Data!J4</f>
        <v>1736001.9987919999</v>
      </c>
      <c r="J78" s="272">
        <f>'CDW BonusCubeData'!$B5</f>
        <v>25886888.420000002</v>
      </c>
      <c r="K78" s="272">
        <f>'CDW BonusCubeData'!C5</f>
        <v>2.5499999999999998</v>
      </c>
      <c r="L78" s="272">
        <f>'CDW BonusCubeData'!D5</f>
        <v>849672.19</v>
      </c>
      <c r="M78" s="272">
        <f>'CDW BonusCubeData'!E5</f>
        <v>2786091.99</v>
      </c>
      <c r="N78" s="272">
        <f>'CDW BonusCubeData'!F5</f>
        <v>46673597.289999999</v>
      </c>
      <c r="O78" s="272">
        <f>'CDW BonusCubeData'!G5</f>
        <v>376000.34</v>
      </c>
      <c r="P78" s="272">
        <f>'CDW BonusCubeData'!H5</f>
        <v>0</v>
      </c>
      <c r="Q78" s="272">
        <f>'CDW BonusCubeData'!I5</f>
        <v>0</v>
      </c>
      <c r="R78" s="272">
        <v>0</v>
      </c>
      <c r="S78" s="272">
        <f>'CDW BonusCubeData'!J5</f>
        <v>1094210</v>
      </c>
      <c r="T78" s="272">
        <v>0</v>
      </c>
      <c r="U78" s="272">
        <f>'CDW BonusCubeData'!K5</f>
        <v>50</v>
      </c>
      <c r="V78" s="272">
        <v>0</v>
      </c>
      <c r="W78" s="272">
        <v>0</v>
      </c>
      <c r="X78" s="272">
        <v>0</v>
      </c>
      <c r="Y78" s="272">
        <f>'CDW BonusCubeData'!R5-[2]SN_Data!N4</f>
        <v>318078.89684700221</v>
      </c>
      <c r="Z78" s="275">
        <f t="shared" si="27"/>
        <v>77984591.676847011</v>
      </c>
      <c r="AA78" s="275">
        <f t="shared" si="28"/>
        <v>90588312.260000005</v>
      </c>
      <c r="AB78" s="96"/>
    </row>
    <row r="79" spans="2:28" ht="15.75" thickBot="1" x14ac:dyDescent="0.3">
      <c r="B79" s="330"/>
      <c r="C79" s="271">
        <v>2016</v>
      </c>
      <c r="D79" s="272">
        <v>5514933568.9899998</v>
      </c>
      <c r="E79" s="273"/>
      <c r="F79" s="274">
        <f>VLOOKUP(C79,RevAudGGR!$A$6:$C$24,3,0)</f>
        <v>459405709.23000002</v>
      </c>
      <c r="G79" s="275">
        <f>[2]SN_Data!H5</f>
        <v>8894715.4003599994</v>
      </c>
      <c r="H79" s="275">
        <f>[2]SN_Data!K5</f>
        <v>2159513.44</v>
      </c>
      <c r="I79" s="275">
        <f>[2]SN_Data!I5+[2]SN_Data!J5</f>
        <v>1570040.52</v>
      </c>
      <c r="J79" s="272">
        <f>'CDW BonusCubeData'!$B6</f>
        <v>25136867.649999999</v>
      </c>
      <c r="K79" s="272">
        <f>'CDW BonusCubeData'!C6</f>
        <v>0.04</v>
      </c>
      <c r="L79" s="272">
        <f>'CDW BonusCubeData'!D6</f>
        <v>819633.21</v>
      </c>
      <c r="M79" s="272">
        <f>'CDW BonusCubeData'!E6</f>
        <v>2985649.78</v>
      </c>
      <c r="N79" s="272">
        <f>'CDW BonusCubeData'!F6</f>
        <v>45995690.539999999</v>
      </c>
      <c r="O79" s="272">
        <f>'CDW BonusCubeData'!G6</f>
        <v>1464424.15</v>
      </c>
      <c r="P79" s="272">
        <f>'CDW BonusCubeData'!H6</f>
        <v>0</v>
      </c>
      <c r="Q79" s="272">
        <f>'CDW BonusCubeData'!I6</f>
        <v>455429.71</v>
      </c>
      <c r="R79" s="272">
        <v>0</v>
      </c>
      <c r="S79" s="272">
        <f>'CDW BonusCubeData'!J6</f>
        <v>863085</v>
      </c>
      <c r="T79" s="272">
        <v>0</v>
      </c>
      <c r="U79" s="272">
        <f>'CDW BonusCubeData'!K6</f>
        <v>36</v>
      </c>
      <c r="V79" s="272">
        <v>0</v>
      </c>
      <c r="W79" s="272">
        <v>0</v>
      </c>
      <c r="X79" s="272">
        <v>0</v>
      </c>
      <c r="Y79" s="272">
        <f>'CDW BonusCubeData'!R6-[2]SN_Data!N5</f>
        <v>443064.28964000754</v>
      </c>
      <c r="Z79" s="275">
        <f t="shared" si="27"/>
        <v>78163880.369640008</v>
      </c>
      <c r="AA79" s="275">
        <f t="shared" si="28"/>
        <v>90788149.730000004</v>
      </c>
      <c r="AB79" s="96"/>
    </row>
    <row r="80" spans="2:28" ht="15.75" thickBot="1" x14ac:dyDescent="0.3">
      <c r="B80" s="330"/>
      <c r="C80" s="271">
        <v>2017</v>
      </c>
      <c r="D80" s="272">
        <v>5468326234.6000004</v>
      </c>
      <c r="E80" s="273"/>
      <c r="F80" s="274">
        <f>VLOOKUP(C80,RevAudGGR!$A$6:$C$24,3,0)</f>
        <v>444971488.89999998</v>
      </c>
      <c r="G80" s="275">
        <f>[2]SN_Data!H6</f>
        <v>8296928.216298</v>
      </c>
      <c r="H80" s="275">
        <f>[2]SN_Data!K6</f>
        <v>1388095</v>
      </c>
      <c r="I80" s="275">
        <f>[2]SN_Data!I6+[2]SN_Data!J6</f>
        <v>1535895.5999999999</v>
      </c>
      <c r="J80" s="272">
        <f>'CDW BonusCubeData'!$B7</f>
        <v>22853786.449999999</v>
      </c>
      <c r="K80" s="272">
        <f>'CDW BonusCubeData'!C7</f>
        <v>7.0000000000000007E-2</v>
      </c>
      <c r="L80" s="272">
        <f>'CDW BonusCubeData'!D7</f>
        <v>821757.75</v>
      </c>
      <c r="M80" s="272">
        <f>'CDW BonusCubeData'!E7</f>
        <v>2552947.17</v>
      </c>
      <c r="N80" s="272">
        <f>'CDW BonusCubeData'!F7</f>
        <v>52265557.539999999</v>
      </c>
      <c r="O80" s="272">
        <f>'CDW BonusCubeData'!G7</f>
        <v>1504659.17</v>
      </c>
      <c r="P80" s="272">
        <f>'CDW BonusCubeData'!H7</f>
        <v>272273.09000000003</v>
      </c>
      <c r="Q80" s="272">
        <f>'CDW BonusCubeData'!I7</f>
        <v>1019787.42</v>
      </c>
      <c r="R80" s="272">
        <v>0</v>
      </c>
      <c r="S80" s="272">
        <f>'CDW BonusCubeData'!J7</f>
        <v>788075</v>
      </c>
      <c r="T80" s="272">
        <v>0</v>
      </c>
      <c r="U80" s="272">
        <f>'CDW BonusCubeData'!K7</f>
        <v>0</v>
      </c>
      <c r="V80" s="272">
        <v>0</v>
      </c>
      <c r="W80" s="272">
        <v>0</v>
      </c>
      <c r="X80" s="272">
        <v>0</v>
      </c>
      <c r="Y80" s="272">
        <f>'CDW BonusCubeData'!R7-[2]SN_Data!N6</f>
        <v>292183.05370200239</v>
      </c>
      <c r="Z80" s="275">
        <f t="shared" si="27"/>
        <v>82371026.713701993</v>
      </c>
      <c r="AA80" s="275">
        <f t="shared" si="28"/>
        <v>93591945.529999986</v>
      </c>
      <c r="AB80" s="96"/>
    </row>
    <row r="81" spans="2:30" ht="15.75" thickBot="1" x14ac:dyDescent="0.3">
      <c r="B81" s="330"/>
      <c r="C81" s="271">
        <v>2018</v>
      </c>
      <c r="D81" s="272">
        <v>5551893797.1499996</v>
      </c>
      <c r="E81" s="273"/>
      <c r="F81" s="274">
        <f>VLOOKUP(C81,RevAudGGR!$A$6:$C$24,3,0)</f>
        <v>445501101.96999997</v>
      </c>
      <c r="G81" s="275">
        <f>[2]SN_Data!H7</f>
        <v>8807956.3556540012</v>
      </c>
      <c r="H81" s="275">
        <f>[2]SN_Data!K7</f>
        <v>1871801.6500000001</v>
      </c>
      <c r="I81" s="275">
        <f>[2]SN_Data!I7+[2]SN_Data!J7</f>
        <v>1081234.1000000001</v>
      </c>
      <c r="J81" s="272">
        <f>'CDW BonusCubeData'!$B8</f>
        <v>22647418.609999999</v>
      </c>
      <c r="K81" s="272">
        <f>'CDW BonusCubeData'!C8</f>
        <v>0.04</v>
      </c>
      <c r="L81" s="272">
        <f>'CDW BonusCubeData'!D8</f>
        <v>759514.16</v>
      </c>
      <c r="M81" s="272">
        <f>'CDW BonusCubeData'!E8</f>
        <v>1427485</v>
      </c>
      <c r="N81" s="272">
        <f>'CDW BonusCubeData'!F8</f>
        <v>51929701.829999998</v>
      </c>
      <c r="O81" s="272">
        <f>'CDW BonusCubeData'!G8</f>
        <v>1176514.08</v>
      </c>
      <c r="P81" s="272">
        <f>'CDW BonusCubeData'!H8</f>
        <v>2737767.79</v>
      </c>
      <c r="Q81" s="272">
        <f>'CDW BonusCubeData'!I8</f>
        <v>623102.76</v>
      </c>
      <c r="R81" s="272">
        <v>0</v>
      </c>
      <c r="S81" s="272">
        <f>'CDW BonusCubeData'!J8</f>
        <v>651825</v>
      </c>
      <c r="T81" s="272">
        <v>0</v>
      </c>
      <c r="U81" s="272">
        <f>'CDW BonusCubeData'!K8</f>
        <v>50</v>
      </c>
      <c r="V81" s="272">
        <v>0</v>
      </c>
      <c r="W81" s="272">
        <v>0</v>
      </c>
      <c r="X81" s="272">
        <v>0</v>
      </c>
      <c r="Y81" s="272">
        <f>'CDW BonusCubeData'!R8-[2]SN_Data!N7</f>
        <v>255281.90434598178</v>
      </c>
      <c r="Z81" s="275">
        <f t="shared" si="27"/>
        <v>82208661.174346</v>
      </c>
      <c r="AA81" s="275">
        <f t="shared" si="28"/>
        <v>93969653.280000001</v>
      </c>
      <c r="AB81" s="96"/>
    </row>
    <row r="82" spans="2:30" ht="15.75" thickBot="1" x14ac:dyDescent="0.3">
      <c r="B82" s="330"/>
      <c r="C82" s="271">
        <v>2019</v>
      </c>
      <c r="D82" s="272">
        <v>5851909080.8599997</v>
      </c>
      <c r="E82" s="273"/>
      <c r="F82" s="274">
        <f>VLOOKUP(C82,RevAudGGR!$A$6:$C$24,3,0)</f>
        <v>459129221.54000008</v>
      </c>
      <c r="G82" s="275">
        <f>[2]SN_Data!H8</f>
        <v>9814018.5779170003</v>
      </c>
      <c r="H82" s="275">
        <f>[2]SN_Data!K8</f>
        <v>1622207.6199999999</v>
      </c>
      <c r="I82" s="275">
        <f>[2]SN_Data!I8+[2]SN_Data!J8</f>
        <v>1358706.52</v>
      </c>
      <c r="J82" s="272">
        <f>'CDW BonusCubeData'!$B9</f>
        <v>22616295.739999998</v>
      </c>
      <c r="K82" s="272">
        <f>'CDW BonusCubeData'!C9</f>
        <v>58164.56</v>
      </c>
      <c r="L82" s="272">
        <f>'CDW BonusCubeData'!D9</f>
        <v>783266.75</v>
      </c>
      <c r="M82" s="272">
        <f>'CDW BonusCubeData'!E9</f>
        <v>1125731.94</v>
      </c>
      <c r="N82" s="272">
        <f>'CDW BonusCubeData'!F9</f>
        <v>47654274.560000002</v>
      </c>
      <c r="O82" s="272">
        <f>'CDW BonusCubeData'!G9</f>
        <v>418367.21</v>
      </c>
      <c r="P82" s="272">
        <f>'CDW BonusCubeData'!H9</f>
        <v>2911867.49</v>
      </c>
      <c r="Q82" s="272">
        <f>'CDW BonusCubeData'!I9</f>
        <v>278091.09000000003</v>
      </c>
      <c r="R82" s="272">
        <v>0</v>
      </c>
      <c r="S82" s="272">
        <f>'CDW BonusCubeData'!J9</f>
        <v>549025</v>
      </c>
      <c r="T82" s="272">
        <v>0</v>
      </c>
      <c r="U82" s="272">
        <f>'CDW BonusCubeData'!K9</f>
        <v>0</v>
      </c>
      <c r="V82" s="272">
        <v>0</v>
      </c>
      <c r="W82" s="272">
        <v>0</v>
      </c>
      <c r="X82" s="272">
        <v>0</v>
      </c>
      <c r="Y82" s="272">
        <f>'CDW BonusCubeData'!R9-[2]SN_Data!N8</f>
        <v>64246.002083014697</v>
      </c>
      <c r="Z82" s="275">
        <f t="shared" si="27"/>
        <v>76459330.342083007</v>
      </c>
      <c r="AA82" s="275">
        <f t="shared" si="28"/>
        <v>89254263.060000002</v>
      </c>
      <c r="AB82" s="96"/>
    </row>
    <row r="83" spans="2:30" ht="15.75" thickBot="1" x14ac:dyDescent="0.3">
      <c r="B83" s="330"/>
      <c r="C83" s="271">
        <v>2020</v>
      </c>
      <c r="D83" s="272">
        <v>4460847923.75</v>
      </c>
      <c r="E83" s="273"/>
      <c r="F83" s="274">
        <f>VLOOKUP(C83,RevAudGGR!$A$6:$C$24,3,0)</f>
        <v>339589388.06900007</v>
      </c>
      <c r="G83" s="275">
        <f>[2]SN_Data!H9</f>
        <v>6787343.6275880001</v>
      </c>
      <c r="H83" s="275">
        <f>[2]SN_Data!K9</f>
        <v>1192466.1000000001</v>
      </c>
      <c r="I83" s="275">
        <f>[2]SN_Data!I9+[2]SN_Data!J9</f>
        <v>700278.54</v>
      </c>
      <c r="J83" s="272">
        <f>'CDW BonusCubeData'!$B10</f>
        <v>15325215.26</v>
      </c>
      <c r="K83" s="272">
        <f>'CDW BonusCubeData'!C10</f>
        <v>26.98</v>
      </c>
      <c r="L83" s="272">
        <f>'CDW BonusCubeData'!D10</f>
        <v>548996.6</v>
      </c>
      <c r="M83" s="272">
        <f>'CDW BonusCubeData'!E10</f>
        <v>805340.31</v>
      </c>
      <c r="N83" s="272">
        <f>'CDW BonusCubeData'!F10</f>
        <v>37828092.520000003</v>
      </c>
      <c r="O83" s="272">
        <f>'CDW BonusCubeData'!G10</f>
        <v>886446.19</v>
      </c>
      <c r="P83" s="272">
        <f>'CDW BonusCubeData'!H10</f>
        <v>2010621.48</v>
      </c>
      <c r="Q83" s="272">
        <f>'CDW BonusCubeData'!I10</f>
        <v>181002.77</v>
      </c>
      <c r="R83" s="272">
        <v>0</v>
      </c>
      <c r="S83" s="272">
        <f>'CDW BonusCubeData'!J10</f>
        <v>418532</v>
      </c>
      <c r="T83" s="272">
        <v>0</v>
      </c>
      <c r="U83" s="272">
        <f>'CDW BonusCubeData'!K10</f>
        <v>50</v>
      </c>
      <c r="V83" s="272">
        <v>0</v>
      </c>
      <c r="W83" s="272">
        <v>0</v>
      </c>
      <c r="X83" s="272">
        <v>0</v>
      </c>
      <c r="Y83" s="272">
        <f>'CDW BonusCubeData'!R10-[2]SN_Data!N9</f>
        <v>83001.392412001267</v>
      </c>
      <c r="Z83" s="275">
        <f t="shared" si="27"/>
        <v>58087325.502411999</v>
      </c>
      <c r="AA83" s="275">
        <f t="shared" si="28"/>
        <v>66767413.769999996</v>
      </c>
      <c r="AB83" s="96"/>
    </row>
    <row r="84" spans="2:30" ht="15.75" thickBot="1" x14ac:dyDescent="0.3">
      <c r="B84" s="331"/>
      <c r="C84" s="271">
        <v>2021</v>
      </c>
      <c r="D84" s="272">
        <v>1962426836.3299999</v>
      </c>
      <c r="E84" s="273"/>
      <c r="F84" s="274">
        <f>VLOOKUP(C84,RevAudGGR!$A$6:$C$24,3,0)</f>
        <v>158206824.42000002</v>
      </c>
      <c r="G84" s="275">
        <f>[2]SN_Data!H10</f>
        <v>1644274.2785100001</v>
      </c>
      <c r="H84" s="275">
        <f>[2]SN_Data!K10</f>
        <v>741561.05999999994</v>
      </c>
      <c r="I84" s="275">
        <f>[2]SN_Data!I10+[2]SN_Data!J10</f>
        <v>397516.5</v>
      </c>
      <c r="J84" s="272">
        <f>'CDW BonusCubeData'!$B11</f>
        <v>802116.54</v>
      </c>
      <c r="K84" s="272">
        <f>'CDW BonusCubeData'!C11</f>
        <v>1.54</v>
      </c>
      <c r="L84" s="272">
        <f>'CDW BonusCubeData'!D11</f>
        <v>5865</v>
      </c>
      <c r="M84" s="272">
        <f>'CDW BonusCubeData'!E11</f>
        <v>0</v>
      </c>
      <c r="N84" s="272">
        <f>'CDW BonusCubeData'!F11</f>
        <v>11241695.029999999</v>
      </c>
      <c r="O84" s="272">
        <f>'CDW BonusCubeData'!G11</f>
        <v>1347.49</v>
      </c>
      <c r="P84" s="272">
        <f>'CDW BonusCubeData'!H11</f>
        <v>180542.63</v>
      </c>
      <c r="Q84" s="272">
        <f>'CDW BonusCubeData'!I11</f>
        <v>0</v>
      </c>
      <c r="R84" s="272">
        <v>0</v>
      </c>
      <c r="S84" s="272">
        <f>'CDW BonusCubeData'!J11</f>
        <v>56305</v>
      </c>
      <c r="T84" s="272">
        <v>0</v>
      </c>
      <c r="U84" s="272">
        <f>'CDW BonusCubeData'!K11</f>
        <v>0</v>
      </c>
      <c r="V84" s="272">
        <v>0</v>
      </c>
      <c r="W84" s="272">
        <v>0</v>
      </c>
      <c r="X84" s="272">
        <v>0</v>
      </c>
      <c r="Y84" s="272">
        <f>'CDW BonusCubeData'!R11-[2]SN_Data!N10</f>
        <v>-28957.808509999886</v>
      </c>
      <c r="Z84" s="275">
        <f t="shared" si="27"/>
        <v>12258915.421490001</v>
      </c>
      <c r="AA84" s="275">
        <f t="shared" si="28"/>
        <v>15042267.260000002</v>
      </c>
      <c r="AB84" s="96"/>
    </row>
    <row r="85" spans="2:30" ht="15.75" thickBot="1" x14ac:dyDescent="0.3">
      <c r="B85" s="204"/>
      <c r="C85" s="132" t="s">
        <v>228</v>
      </c>
      <c r="D85" s="132">
        <f>SUM(D75:D84)</f>
        <v>49614659945.209999</v>
      </c>
      <c r="F85" s="132">
        <f t="shared" ref="F85:AA85" si="29">SUM(F75:F84)</f>
        <v>4075198792.1190004</v>
      </c>
      <c r="G85" s="132">
        <f t="shared" si="29"/>
        <v>68767293.034571007</v>
      </c>
      <c r="H85" s="132">
        <f t="shared" si="29"/>
        <v>12238058.097271999</v>
      </c>
      <c r="I85" s="132">
        <f t="shared" si="29"/>
        <v>10010266.774916999</v>
      </c>
      <c r="J85" s="132">
        <f t="shared" si="29"/>
        <v>213811915.42999998</v>
      </c>
      <c r="K85" s="132">
        <f t="shared" si="29"/>
        <v>105934.34</v>
      </c>
      <c r="L85" s="132">
        <f t="shared" si="29"/>
        <v>7480150.4699999988</v>
      </c>
      <c r="M85" s="132">
        <f t="shared" si="29"/>
        <v>16831180.059999999</v>
      </c>
      <c r="N85" s="132">
        <f t="shared" si="29"/>
        <v>400507856.54999995</v>
      </c>
      <c r="O85" s="132">
        <f t="shared" si="29"/>
        <v>6275453.4700000007</v>
      </c>
      <c r="P85" s="132">
        <f t="shared" si="29"/>
        <v>8113072.4799999995</v>
      </c>
      <c r="Q85" s="132">
        <f t="shared" si="29"/>
        <v>2557413.75</v>
      </c>
      <c r="R85" s="132">
        <f t="shared" si="29"/>
        <v>0</v>
      </c>
      <c r="S85" s="132">
        <f t="shared" si="29"/>
        <v>4421132</v>
      </c>
      <c r="T85" s="132">
        <f t="shared" si="29"/>
        <v>0</v>
      </c>
      <c r="U85" s="132">
        <f t="shared" si="29"/>
        <v>33936.01</v>
      </c>
      <c r="V85" s="132">
        <f t="shared" si="29"/>
        <v>0</v>
      </c>
      <c r="W85" s="132">
        <f t="shared" si="29"/>
        <v>0</v>
      </c>
      <c r="X85" s="132">
        <f t="shared" si="29"/>
        <v>0</v>
      </c>
      <c r="Y85" s="132">
        <f t="shared" si="29"/>
        <v>2094644.8632400231</v>
      </c>
      <c r="Z85" s="132">
        <f t="shared" si="29"/>
        <v>662232689.42323983</v>
      </c>
      <c r="AA85" s="132">
        <f t="shared" si="29"/>
        <v>753248307.32999992</v>
      </c>
      <c r="AD85" s="96"/>
    </row>
    <row r="86" spans="2:30" ht="21.75" hidden="1" customHeight="1" thickBot="1" x14ac:dyDescent="0.3">
      <c r="B86" s="203" t="s">
        <v>75</v>
      </c>
      <c r="D86" s="23" t="s">
        <v>76</v>
      </c>
      <c r="E86" s="23" t="s">
        <v>77</v>
      </c>
      <c r="F86" s="23"/>
      <c r="G86" s="123" t="s">
        <v>78</v>
      </c>
      <c r="H86" s="123"/>
      <c r="I86" s="123"/>
      <c r="J86" s="24" t="s">
        <v>134</v>
      </c>
      <c r="K86" s="24" t="s">
        <v>16</v>
      </c>
      <c r="L86" s="24" t="s">
        <v>22</v>
      </c>
      <c r="M86" s="24" t="s">
        <v>41</v>
      </c>
      <c r="N86" s="24" t="s">
        <v>44</v>
      </c>
      <c r="O86" s="24" t="s">
        <v>47</v>
      </c>
      <c r="P86" s="24" t="s">
        <v>15</v>
      </c>
      <c r="Q86" s="24" t="s">
        <v>56</v>
      </c>
      <c r="R86" s="24" t="s">
        <v>117</v>
      </c>
      <c r="S86" s="24" t="s">
        <v>138</v>
      </c>
      <c r="T86" s="24" t="s">
        <v>136</v>
      </c>
      <c r="U86" s="24" t="s">
        <v>135</v>
      </c>
      <c r="V86" s="24" t="s">
        <v>139</v>
      </c>
      <c r="W86" s="24" t="s">
        <v>91</v>
      </c>
      <c r="X86" s="26" t="s">
        <v>93</v>
      </c>
      <c r="Y86" s="266"/>
      <c r="Z86" s="109" t="s">
        <v>152</v>
      </c>
      <c r="AA86" s="108" t="s">
        <v>151</v>
      </c>
      <c r="AB86" s="255" t="s">
        <v>150</v>
      </c>
    </row>
    <row r="87" spans="2:30" ht="15.75" hidden="1" customHeight="1" thickBot="1" x14ac:dyDescent="0.3">
      <c r="B87" s="98">
        <v>2005</v>
      </c>
      <c r="D87" s="94">
        <v>3967418646.04</v>
      </c>
      <c r="E87" s="94">
        <v>323348200.51999998</v>
      </c>
      <c r="F87" s="94"/>
      <c r="G87" s="95">
        <v>0</v>
      </c>
      <c r="H87" s="95"/>
      <c r="I87" s="95"/>
      <c r="J87" s="94">
        <v>27100608</v>
      </c>
      <c r="K87" s="94">
        <v>0</v>
      </c>
      <c r="L87" s="94">
        <v>7084530</v>
      </c>
      <c r="M87" s="94">
        <v>15688126</v>
      </c>
      <c r="N87" s="94">
        <v>0</v>
      </c>
      <c r="O87" s="94">
        <v>0</v>
      </c>
      <c r="P87" s="94">
        <v>0</v>
      </c>
      <c r="Q87" s="94">
        <v>0</v>
      </c>
      <c r="R87" s="94">
        <v>0</v>
      </c>
      <c r="S87" s="94">
        <v>216650</v>
      </c>
      <c r="T87" s="94">
        <v>524110</v>
      </c>
      <c r="U87" s="94">
        <v>585149</v>
      </c>
      <c r="V87" s="94">
        <v>693690</v>
      </c>
      <c r="W87" s="95">
        <f t="shared" ref="W87:W103" si="30">+SUM(J87:V87)</f>
        <v>51892863</v>
      </c>
      <c r="X87" s="95">
        <f t="shared" ref="X87:X103" si="31">+G87+W87</f>
        <v>51892863</v>
      </c>
      <c r="Y87" s="267"/>
      <c r="Z87" s="107">
        <f t="shared" ref="Z87:Z95" si="32">+W87-AA87</f>
        <v>0</v>
      </c>
      <c r="AA87" s="106">
        <v>51892863</v>
      </c>
      <c r="AB87" s="106">
        <f t="shared" ref="AB87:AB95" si="33">+AA87-W87</f>
        <v>0</v>
      </c>
    </row>
    <row r="88" spans="2:30" ht="15.75" hidden="1" customHeight="1" thickBot="1" x14ac:dyDescent="0.3">
      <c r="B88" s="98">
        <v>2006</v>
      </c>
      <c r="D88" s="94">
        <v>4366686874.21</v>
      </c>
      <c r="E88" s="94">
        <v>364084420.60000002</v>
      </c>
      <c r="F88" s="94"/>
      <c r="G88" s="95">
        <v>0</v>
      </c>
      <c r="H88" s="95"/>
      <c r="I88" s="95"/>
      <c r="J88" s="94">
        <v>28608578</v>
      </c>
      <c r="K88" s="94">
        <v>0</v>
      </c>
      <c r="L88" s="94">
        <v>7197495</v>
      </c>
      <c r="M88" s="94">
        <v>19167581.640000001</v>
      </c>
      <c r="N88" s="94">
        <v>0</v>
      </c>
      <c r="O88" s="94">
        <v>0</v>
      </c>
      <c r="P88" s="94">
        <v>0</v>
      </c>
      <c r="Q88" s="94">
        <v>0</v>
      </c>
      <c r="R88" s="94">
        <v>0</v>
      </c>
      <c r="S88" s="94">
        <v>287850</v>
      </c>
      <c r="T88" s="94">
        <v>433285</v>
      </c>
      <c r="U88" s="94">
        <v>615000</v>
      </c>
      <c r="V88" s="94">
        <v>641815</v>
      </c>
      <c r="W88" s="95">
        <f t="shared" si="30"/>
        <v>56951604.640000001</v>
      </c>
      <c r="X88" s="95">
        <f t="shared" si="31"/>
        <v>56951604.640000001</v>
      </c>
      <c r="Y88" s="267"/>
      <c r="Z88" s="107">
        <f t="shared" si="32"/>
        <v>0</v>
      </c>
      <c r="AA88" s="106">
        <v>56951604.640000001</v>
      </c>
      <c r="AB88" s="106">
        <f t="shared" si="33"/>
        <v>0</v>
      </c>
    </row>
    <row r="89" spans="2:30" ht="15.75" hidden="1" customHeight="1" thickBot="1" x14ac:dyDescent="0.3">
      <c r="B89" s="98">
        <v>2007</v>
      </c>
      <c r="D89" s="94">
        <v>4352968473.7200003</v>
      </c>
      <c r="E89" s="94">
        <v>367531498.35000002</v>
      </c>
      <c r="F89" s="94"/>
      <c r="G89" s="95">
        <v>0</v>
      </c>
      <c r="H89" s="95"/>
      <c r="I89" s="95"/>
      <c r="J89" s="94">
        <v>37618409</v>
      </c>
      <c r="K89" s="94">
        <v>0</v>
      </c>
      <c r="L89" s="94">
        <v>6731198</v>
      </c>
      <c r="M89" s="94">
        <v>22448587</v>
      </c>
      <c r="N89" s="94">
        <v>0</v>
      </c>
      <c r="O89" s="94">
        <v>0</v>
      </c>
      <c r="P89" s="94">
        <v>0</v>
      </c>
      <c r="Q89" s="94">
        <v>0</v>
      </c>
      <c r="R89" s="94">
        <v>0</v>
      </c>
      <c r="S89" s="94">
        <v>342700</v>
      </c>
      <c r="T89" s="94">
        <v>279960</v>
      </c>
      <c r="U89" s="94">
        <v>241232</v>
      </c>
      <c r="V89" s="94">
        <v>197160</v>
      </c>
      <c r="W89" s="95">
        <f t="shared" si="30"/>
        <v>67859246</v>
      </c>
      <c r="X89" s="95">
        <f t="shared" si="31"/>
        <v>67859246</v>
      </c>
      <c r="Y89" s="267"/>
      <c r="Z89" s="107">
        <f t="shared" si="32"/>
        <v>0</v>
      </c>
      <c r="AA89" s="106">
        <v>67859246</v>
      </c>
      <c r="AB89" s="106">
        <f t="shared" si="33"/>
        <v>0</v>
      </c>
    </row>
    <row r="90" spans="2:30" ht="15.75" hidden="1" customHeight="1" thickBot="1" x14ac:dyDescent="0.3">
      <c r="B90" s="98">
        <v>2008</v>
      </c>
      <c r="D90" s="94">
        <v>4445573703.5799999</v>
      </c>
      <c r="E90" s="94">
        <v>375232895.51999998</v>
      </c>
      <c r="F90" s="94"/>
      <c r="G90" s="95">
        <v>0</v>
      </c>
      <c r="H90" s="95"/>
      <c r="I90" s="95"/>
      <c r="J90" s="94">
        <v>40613652</v>
      </c>
      <c r="K90" s="94">
        <v>0</v>
      </c>
      <c r="L90" s="94">
        <v>7033710</v>
      </c>
      <c r="M90" s="94">
        <v>21050329</v>
      </c>
      <c r="N90" s="94">
        <v>0</v>
      </c>
      <c r="O90" s="94">
        <v>0</v>
      </c>
      <c r="P90" s="94">
        <v>0</v>
      </c>
      <c r="Q90" s="94">
        <v>0</v>
      </c>
      <c r="R90" s="94">
        <v>0</v>
      </c>
      <c r="S90" s="94">
        <v>377700</v>
      </c>
      <c r="T90" s="94">
        <v>0</v>
      </c>
      <c r="U90" s="94">
        <v>0</v>
      </c>
      <c r="V90" s="94">
        <v>4680</v>
      </c>
      <c r="W90" s="95">
        <f t="shared" si="30"/>
        <v>69080071</v>
      </c>
      <c r="X90" s="95">
        <f t="shared" si="31"/>
        <v>69080071</v>
      </c>
      <c r="Y90" s="267"/>
      <c r="Z90" s="107">
        <f t="shared" si="32"/>
        <v>0</v>
      </c>
      <c r="AA90" s="106">
        <v>69080071</v>
      </c>
      <c r="AB90" s="106">
        <f t="shared" si="33"/>
        <v>0</v>
      </c>
    </row>
    <row r="91" spans="2:30" ht="15.75" hidden="1" customHeight="1" thickBot="1" x14ac:dyDescent="0.3">
      <c r="B91" s="98">
        <v>2009</v>
      </c>
      <c r="D91" s="94">
        <v>4613581411.3599997</v>
      </c>
      <c r="E91" s="94">
        <v>387899089.68000001</v>
      </c>
      <c r="F91" s="94"/>
      <c r="G91" s="95">
        <v>0</v>
      </c>
      <c r="H91" s="95"/>
      <c r="I91" s="95"/>
      <c r="J91" s="94">
        <v>39117084</v>
      </c>
      <c r="K91" s="94">
        <v>0</v>
      </c>
      <c r="L91" s="94">
        <v>3772835</v>
      </c>
      <c r="M91" s="94">
        <v>22439172</v>
      </c>
      <c r="N91" s="94">
        <v>0</v>
      </c>
      <c r="O91" s="94">
        <v>0</v>
      </c>
      <c r="P91" s="94">
        <v>0</v>
      </c>
      <c r="Q91" s="94">
        <v>0</v>
      </c>
      <c r="R91" s="94">
        <v>0</v>
      </c>
      <c r="S91" s="94">
        <v>397850</v>
      </c>
      <c r="T91" s="94">
        <v>0</v>
      </c>
      <c r="U91" s="94">
        <v>0</v>
      </c>
      <c r="V91" s="94">
        <v>2815</v>
      </c>
      <c r="W91" s="95">
        <f t="shared" si="30"/>
        <v>65729756</v>
      </c>
      <c r="X91" s="95">
        <f t="shared" si="31"/>
        <v>65729756</v>
      </c>
      <c r="Y91" s="267"/>
      <c r="Z91" s="107">
        <f t="shared" si="32"/>
        <v>0</v>
      </c>
      <c r="AA91" s="106">
        <v>65729756</v>
      </c>
      <c r="AB91" s="106">
        <f t="shared" si="33"/>
        <v>0</v>
      </c>
    </row>
    <row r="92" spans="2:30" ht="15.75" hidden="1" customHeight="1" thickBot="1" x14ac:dyDescent="0.3">
      <c r="B92" s="98">
        <v>2010</v>
      </c>
      <c r="D92" s="94">
        <v>4723013429.3599997</v>
      </c>
      <c r="E92" s="94">
        <v>407073950.49000001</v>
      </c>
      <c r="F92" s="94"/>
      <c r="G92" s="95">
        <v>0</v>
      </c>
      <c r="H92" s="95"/>
      <c r="I92" s="95"/>
      <c r="J92" s="94">
        <v>36958623</v>
      </c>
      <c r="K92" s="94">
        <v>0</v>
      </c>
      <c r="L92" s="94">
        <v>2157145</v>
      </c>
      <c r="M92" s="94">
        <v>23563733</v>
      </c>
      <c r="N92" s="94">
        <v>0</v>
      </c>
      <c r="O92" s="94">
        <v>0</v>
      </c>
      <c r="P92" s="94">
        <v>0</v>
      </c>
      <c r="Q92" s="94">
        <v>0</v>
      </c>
      <c r="R92" s="94">
        <v>0</v>
      </c>
      <c r="S92" s="94">
        <v>322800</v>
      </c>
      <c r="T92" s="94">
        <v>0</v>
      </c>
      <c r="U92" s="94">
        <v>0</v>
      </c>
      <c r="V92" s="94">
        <v>2415</v>
      </c>
      <c r="W92" s="95">
        <f t="shared" si="30"/>
        <v>63004716</v>
      </c>
      <c r="X92" s="95">
        <f t="shared" si="31"/>
        <v>63004716</v>
      </c>
      <c r="Y92" s="267"/>
      <c r="Z92" s="107">
        <f t="shared" si="32"/>
        <v>0</v>
      </c>
      <c r="AA92" s="106">
        <v>63004716</v>
      </c>
      <c r="AB92" s="106">
        <f t="shared" si="33"/>
        <v>0</v>
      </c>
    </row>
    <row r="93" spans="2:30" ht="15.75" hidden="1" customHeight="1" thickBot="1" x14ac:dyDescent="0.3">
      <c r="B93" s="98">
        <v>2011</v>
      </c>
      <c r="D93" s="94">
        <v>4988007891.8699999</v>
      </c>
      <c r="E93" s="94">
        <v>434415889.69</v>
      </c>
      <c r="F93" s="94"/>
      <c r="G93" s="95">
        <v>0</v>
      </c>
      <c r="H93" s="95"/>
      <c r="I93" s="95"/>
      <c r="J93" s="94">
        <v>33217379</v>
      </c>
      <c r="K93" s="94">
        <v>0</v>
      </c>
      <c r="L93" s="94">
        <v>1335280</v>
      </c>
      <c r="M93" s="94">
        <v>27099251</v>
      </c>
      <c r="N93" s="94">
        <v>0</v>
      </c>
      <c r="O93" s="94">
        <v>0</v>
      </c>
      <c r="P93" s="94">
        <v>0</v>
      </c>
      <c r="Q93" s="94">
        <v>0</v>
      </c>
      <c r="R93" s="94">
        <v>0</v>
      </c>
      <c r="S93" s="94">
        <v>350800</v>
      </c>
      <c r="T93" s="94">
        <v>0</v>
      </c>
      <c r="U93" s="94">
        <v>0</v>
      </c>
      <c r="V93" s="94">
        <v>30</v>
      </c>
      <c r="W93" s="95">
        <f t="shared" si="30"/>
        <v>62002740</v>
      </c>
      <c r="X93" s="95">
        <f t="shared" si="31"/>
        <v>62002740</v>
      </c>
      <c r="Y93" s="267"/>
      <c r="Z93" s="107">
        <f t="shared" si="32"/>
        <v>0</v>
      </c>
      <c r="AA93" s="106">
        <v>62002740</v>
      </c>
      <c r="AB93" s="106">
        <f t="shared" si="33"/>
        <v>0</v>
      </c>
    </row>
    <row r="94" spans="2:30" ht="15.75" hidden="1" customHeight="1" thickBot="1" x14ac:dyDescent="0.3">
      <c r="B94" s="98">
        <v>2012</v>
      </c>
      <c r="D94" s="94">
        <v>5113108047.9899998</v>
      </c>
      <c r="E94" s="94">
        <v>448832810.55000001</v>
      </c>
      <c r="F94" s="94"/>
      <c r="G94" s="95">
        <v>0</v>
      </c>
      <c r="H94" s="95"/>
      <c r="I94" s="95"/>
      <c r="J94" s="94">
        <v>30762195</v>
      </c>
      <c r="K94" s="94">
        <v>0</v>
      </c>
      <c r="L94" s="94">
        <v>1197060</v>
      </c>
      <c r="M94" s="94">
        <v>29700522</v>
      </c>
      <c r="N94" s="94">
        <v>0</v>
      </c>
      <c r="O94" s="94">
        <v>0</v>
      </c>
      <c r="P94" s="94">
        <v>0</v>
      </c>
      <c r="Q94" s="94">
        <v>0</v>
      </c>
      <c r="R94" s="94">
        <v>0</v>
      </c>
      <c r="S94" s="94">
        <v>34750</v>
      </c>
      <c r="T94" s="94">
        <v>0</v>
      </c>
      <c r="U94" s="94">
        <v>0</v>
      </c>
      <c r="V94" s="94">
        <v>0</v>
      </c>
      <c r="W94" s="95">
        <f t="shared" si="30"/>
        <v>61694527</v>
      </c>
      <c r="X94" s="95">
        <f t="shared" si="31"/>
        <v>61694527</v>
      </c>
      <c r="Y94" s="267"/>
      <c r="Z94" s="107">
        <f t="shared" si="32"/>
        <v>0</v>
      </c>
      <c r="AA94" s="106">
        <v>61694527</v>
      </c>
      <c r="AB94" s="106">
        <f t="shared" si="33"/>
        <v>0</v>
      </c>
    </row>
    <row r="95" spans="2:30" ht="15.75" hidden="1" customHeight="1" thickBot="1" x14ac:dyDescent="0.3">
      <c r="B95" s="98">
        <v>2013</v>
      </c>
      <c r="D95" s="94">
        <v>5111331229.8400002</v>
      </c>
      <c r="E95" s="94">
        <v>442365887.73000002</v>
      </c>
      <c r="F95" s="94"/>
      <c r="G95" s="95">
        <v>7444824.2800000003</v>
      </c>
      <c r="H95" s="95"/>
      <c r="I95" s="95"/>
      <c r="J95" s="94">
        <v>25545330</v>
      </c>
      <c r="K95" s="94">
        <v>0</v>
      </c>
      <c r="L95" s="94">
        <v>1320370</v>
      </c>
      <c r="M95" s="94">
        <v>34327982</v>
      </c>
      <c r="N95" s="94">
        <v>0</v>
      </c>
      <c r="O95" s="94">
        <v>0</v>
      </c>
      <c r="P95" s="94">
        <v>0</v>
      </c>
      <c r="Q95" s="94">
        <v>0</v>
      </c>
      <c r="R95" s="94">
        <v>0</v>
      </c>
      <c r="S95" s="94">
        <v>0</v>
      </c>
      <c r="T95" s="94">
        <v>0</v>
      </c>
      <c r="U95" s="94">
        <v>0</v>
      </c>
      <c r="V95" s="94">
        <v>0</v>
      </c>
      <c r="W95" s="95">
        <f t="shared" si="30"/>
        <v>61193682</v>
      </c>
      <c r="X95" s="95">
        <f t="shared" si="31"/>
        <v>68638506.280000001</v>
      </c>
      <c r="Y95" s="267"/>
      <c r="Z95" s="107">
        <f t="shared" si="32"/>
        <v>0</v>
      </c>
      <c r="AA95" s="106">
        <v>61193682</v>
      </c>
      <c r="AB95" s="106">
        <f t="shared" si="33"/>
        <v>0</v>
      </c>
    </row>
    <row r="96" spans="2:30" ht="15.75" hidden="1" customHeight="1" thickBot="1" x14ac:dyDescent="0.3">
      <c r="B96" s="99">
        <v>2014</v>
      </c>
      <c r="D96" s="27">
        <v>5177345265.75</v>
      </c>
      <c r="E96" s="27">
        <v>431223118.99000001</v>
      </c>
      <c r="F96" s="27"/>
      <c r="G96" s="29">
        <v>11102225.42</v>
      </c>
      <c r="H96" s="29"/>
      <c r="I96" s="29"/>
      <c r="J96" s="28">
        <f t="shared" ref="J96:J103" si="34">+J77+L77</f>
        <v>25406589.210000001</v>
      </c>
      <c r="K96" s="28">
        <v>0</v>
      </c>
      <c r="L96" s="28">
        <v>2992002.5799999996</v>
      </c>
      <c r="M96" s="28">
        <v>44122042.634999998</v>
      </c>
      <c r="N96" s="28">
        <v>70556.784999999989</v>
      </c>
      <c r="O96" s="28">
        <v>0</v>
      </c>
      <c r="P96" s="28">
        <v>0</v>
      </c>
      <c r="Q96" s="28">
        <v>0</v>
      </c>
      <c r="R96" s="28">
        <v>0</v>
      </c>
      <c r="S96" s="28">
        <v>0</v>
      </c>
      <c r="T96" s="28">
        <v>0</v>
      </c>
      <c r="U96" s="28">
        <v>0</v>
      </c>
      <c r="V96" s="28">
        <v>0</v>
      </c>
      <c r="W96" s="29">
        <f t="shared" si="30"/>
        <v>72591191.209999993</v>
      </c>
      <c r="X96" s="29">
        <f t="shared" si="31"/>
        <v>83693416.629999995</v>
      </c>
      <c r="Y96" s="268"/>
      <c r="Z96" s="96">
        <f t="shared" ref="Z96:Z101" si="35">+W96-I13</f>
        <v>955816.50168699026</v>
      </c>
      <c r="AA96" s="106">
        <v>71157161</v>
      </c>
      <c r="AB96" s="106">
        <f t="shared" ref="AB96:AB103" si="36">+W96-AA96</f>
        <v>1434030.2099999934</v>
      </c>
    </row>
    <row r="97" spans="2:28" ht="15.75" hidden="1" customHeight="1" thickBot="1" x14ac:dyDescent="0.3">
      <c r="B97" s="99">
        <v>2015</v>
      </c>
      <c r="D97" s="27">
        <v>5402537959.9499998</v>
      </c>
      <c r="E97" s="27">
        <v>446278627.00999999</v>
      </c>
      <c r="F97" s="27"/>
      <c r="G97" s="29">
        <v>12603982.529999999</v>
      </c>
      <c r="H97" s="29"/>
      <c r="I97" s="29"/>
      <c r="J97" s="28">
        <f t="shared" si="34"/>
        <v>26736560.610000003</v>
      </c>
      <c r="K97" s="28">
        <v>0</v>
      </c>
      <c r="L97" s="28">
        <v>2786345.59</v>
      </c>
      <c r="M97" s="28">
        <v>46710591.099999994</v>
      </c>
      <c r="N97" s="28">
        <v>376000.33999999997</v>
      </c>
      <c r="O97" s="28">
        <v>0</v>
      </c>
      <c r="P97" s="28">
        <v>150044.60999999999</v>
      </c>
      <c r="Q97" s="28">
        <v>0</v>
      </c>
      <c r="R97" s="28">
        <v>0</v>
      </c>
      <c r="S97" s="28">
        <v>0</v>
      </c>
      <c r="T97" s="28">
        <v>0</v>
      </c>
      <c r="U97" s="28">
        <v>0</v>
      </c>
      <c r="V97" s="28">
        <v>0</v>
      </c>
      <c r="W97" s="29">
        <f t="shared" si="30"/>
        <v>76759542.25</v>
      </c>
      <c r="X97" s="29">
        <f t="shared" si="31"/>
        <v>89363524.780000001</v>
      </c>
      <c r="Y97" s="268"/>
      <c r="Z97" s="96">
        <f t="shared" si="35"/>
        <v>-1225049.4268470109</v>
      </c>
      <c r="AA97" s="106">
        <v>76340694</v>
      </c>
      <c r="AB97" s="106">
        <f t="shared" si="36"/>
        <v>418848.25</v>
      </c>
    </row>
    <row r="98" spans="2:28" ht="15.75" hidden="1" customHeight="1" thickBot="1" x14ac:dyDescent="0.3">
      <c r="B98" s="99">
        <v>2016</v>
      </c>
      <c r="D98" s="27">
        <v>5514933568.9899998</v>
      </c>
      <c r="E98" s="27">
        <v>459432566.57999998</v>
      </c>
      <c r="F98" s="27"/>
      <c r="G98" s="29">
        <v>12624702.859999999</v>
      </c>
      <c r="H98" s="29"/>
      <c r="I98" s="29"/>
      <c r="J98" s="28">
        <f t="shared" si="34"/>
        <v>25956500.859999999</v>
      </c>
      <c r="K98" s="28">
        <v>0</v>
      </c>
      <c r="L98" s="28">
        <v>2986128.7900000005</v>
      </c>
      <c r="M98" s="28">
        <v>46065714.960000008</v>
      </c>
      <c r="N98" s="28">
        <v>1464424.1600000001</v>
      </c>
      <c r="O98" s="28">
        <v>0</v>
      </c>
      <c r="P98" s="28">
        <v>631177.99</v>
      </c>
      <c r="Q98" s="28">
        <v>0</v>
      </c>
      <c r="R98" s="28">
        <v>0</v>
      </c>
      <c r="S98" s="28">
        <v>0</v>
      </c>
      <c r="T98" s="28">
        <v>0</v>
      </c>
      <c r="U98" s="28">
        <v>0</v>
      </c>
      <c r="V98" s="28">
        <v>0</v>
      </c>
      <c r="W98" s="29">
        <f t="shared" si="30"/>
        <v>77103946.760000005</v>
      </c>
      <c r="X98" s="29">
        <f t="shared" si="31"/>
        <v>89728649.620000005</v>
      </c>
      <c r="Y98" s="268"/>
      <c r="Z98" s="96">
        <f t="shared" si="35"/>
        <v>-1059933.6096400023</v>
      </c>
      <c r="AA98" s="106">
        <v>75334336</v>
      </c>
      <c r="AB98" s="106">
        <f t="shared" si="36"/>
        <v>1769610.7600000054</v>
      </c>
    </row>
    <row r="99" spans="2:28" ht="15.75" hidden="1" customHeight="1" thickBot="1" x14ac:dyDescent="0.3">
      <c r="B99" s="99">
        <v>2017</v>
      </c>
      <c r="D99" s="27">
        <v>5468326234.6000004</v>
      </c>
      <c r="E99" s="27">
        <v>444962154.55000001</v>
      </c>
      <c r="F99" s="27"/>
      <c r="G99" s="29">
        <v>11221333.98</v>
      </c>
      <c r="H99" s="29"/>
      <c r="I99" s="29"/>
      <c r="J99" s="28">
        <f t="shared" si="34"/>
        <v>23675544.199999999</v>
      </c>
      <c r="K99" s="28">
        <v>0</v>
      </c>
      <c r="L99" s="28">
        <v>2553433.17</v>
      </c>
      <c r="M99" s="28">
        <v>52378458.169999994</v>
      </c>
      <c r="N99" s="28">
        <v>1504659.17</v>
      </c>
      <c r="O99" s="28">
        <v>272588.11</v>
      </c>
      <c r="P99" s="28">
        <v>1023253.4699999999</v>
      </c>
      <c r="Q99" s="28">
        <v>0</v>
      </c>
      <c r="R99" s="28">
        <v>0</v>
      </c>
      <c r="S99" s="28">
        <v>0</v>
      </c>
      <c r="T99" s="28">
        <v>0</v>
      </c>
      <c r="U99" s="28">
        <v>0</v>
      </c>
      <c r="V99" s="28">
        <v>0</v>
      </c>
      <c r="W99" s="29">
        <f t="shared" si="30"/>
        <v>81407936.289999992</v>
      </c>
      <c r="X99" s="29">
        <f t="shared" si="31"/>
        <v>92629270.269999996</v>
      </c>
      <c r="Y99" s="268"/>
      <c r="Z99" s="96">
        <f t="shared" si="35"/>
        <v>-963090.42370201647</v>
      </c>
      <c r="AA99" s="106">
        <v>79112088</v>
      </c>
      <c r="AB99" s="106">
        <f t="shared" si="36"/>
        <v>2295848.2899999917</v>
      </c>
    </row>
    <row r="100" spans="2:28" ht="15.75" hidden="1" customHeight="1" thickBot="1" x14ac:dyDescent="0.3">
      <c r="B100" s="99">
        <v>2018</v>
      </c>
      <c r="D100" s="27">
        <v>5551893797.1499996</v>
      </c>
      <c r="E100" s="27">
        <v>445511202.79000002</v>
      </c>
      <c r="F100" s="27"/>
      <c r="G100" s="29">
        <v>11761352.43</v>
      </c>
      <c r="H100" s="29"/>
      <c r="I100" s="29"/>
      <c r="J100" s="28">
        <f t="shared" si="34"/>
        <v>23406932.77</v>
      </c>
      <c r="K100" s="28">
        <v>0.04</v>
      </c>
      <c r="L100" s="28">
        <v>1427504.9999999998</v>
      </c>
      <c r="M100" s="28">
        <v>51975553.07</v>
      </c>
      <c r="N100" s="28">
        <v>1177060.4199999997</v>
      </c>
      <c r="O100" s="28">
        <v>2487372.75</v>
      </c>
      <c r="P100" s="28">
        <v>623242.80000000005</v>
      </c>
      <c r="Q100" s="28">
        <v>301555</v>
      </c>
      <c r="R100" s="28">
        <v>187540</v>
      </c>
      <c r="S100" s="28">
        <v>0</v>
      </c>
      <c r="T100" s="28">
        <v>0</v>
      </c>
      <c r="U100" s="28">
        <v>0</v>
      </c>
      <c r="V100" s="28">
        <v>0</v>
      </c>
      <c r="W100" s="29">
        <f t="shared" si="30"/>
        <v>81586761.849999994</v>
      </c>
      <c r="X100" s="29">
        <f t="shared" si="31"/>
        <v>93348114.280000001</v>
      </c>
      <c r="Y100" s="268"/>
      <c r="Z100" s="96">
        <f t="shared" si="35"/>
        <v>-621899.32434597611</v>
      </c>
      <c r="AA100" s="106">
        <v>79739843</v>
      </c>
      <c r="AB100" s="106">
        <f t="shared" si="36"/>
        <v>1846918.849999994</v>
      </c>
    </row>
    <row r="101" spans="2:28" ht="15.75" hidden="1" customHeight="1" thickBot="1" x14ac:dyDescent="0.3">
      <c r="B101" s="99">
        <v>2019</v>
      </c>
      <c r="D101" s="27">
        <v>5851909080.8599997</v>
      </c>
      <c r="E101" s="27">
        <v>459123839.61000001</v>
      </c>
      <c r="F101" s="27"/>
      <c r="G101" s="29">
        <v>12795304.5</v>
      </c>
      <c r="H101" s="29"/>
      <c r="I101" s="29"/>
      <c r="J101" s="28">
        <f t="shared" si="34"/>
        <v>23399562.489999998</v>
      </c>
      <c r="K101" s="28">
        <v>58229.979999999989</v>
      </c>
      <c r="L101" s="28">
        <v>1125856.94</v>
      </c>
      <c r="M101" s="28">
        <v>47592059.719999999</v>
      </c>
      <c r="N101" s="28">
        <v>418367.24</v>
      </c>
      <c r="O101" s="28">
        <v>2927373.8799999994</v>
      </c>
      <c r="P101" s="28">
        <v>278031.09000000003</v>
      </c>
      <c r="Q101" s="28">
        <v>549340</v>
      </c>
      <c r="R101" s="28">
        <v>0</v>
      </c>
      <c r="S101" s="28">
        <v>0</v>
      </c>
      <c r="T101" s="28">
        <v>0</v>
      </c>
      <c r="U101" s="28">
        <v>0</v>
      </c>
      <c r="V101" s="28">
        <v>0</v>
      </c>
      <c r="W101" s="29">
        <f t="shared" si="30"/>
        <v>76348821.339999989</v>
      </c>
      <c r="X101" s="29">
        <f t="shared" si="31"/>
        <v>89144125.839999989</v>
      </c>
      <c r="Y101" s="268"/>
      <c r="Z101" s="96">
        <f t="shared" si="35"/>
        <v>-110509.00208303332</v>
      </c>
      <c r="AA101" s="106">
        <v>75346947</v>
      </c>
      <c r="AB101" s="106">
        <f t="shared" si="36"/>
        <v>1001874.3399999887</v>
      </c>
    </row>
    <row r="102" spans="2:28" ht="15.75" hidden="1" customHeight="1" thickBot="1" x14ac:dyDescent="0.3">
      <c r="B102" s="99">
        <v>2020</v>
      </c>
      <c r="D102" s="27">
        <v>4460847923.75</v>
      </c>
      <c r="E102" s="27">
        <v>339599506.88</v>
      </c>
      <c r="F102" s="27"/>
      <c r="G102" s="29">
        <v>8680347.8100000005</v>
      </c>
      <c r="H102" s="29"/>
      <c r="I102" s="29"/>
      <c r="J102" s="28">
        <f t="shared" si="34"/>
        <v>15874211.859999999</v>
      </c>
      <c r="K102" s="28">
        <v>26.98</v>
      </c>
      <c r="L102" s="28">
        <v>805370.31</v>
      </c>
      <c r="M102" s="28">
        <v>37874039.150000006</v>
      </c>
      <c r="N102" s="28">
        <v>886496.18999999983</v>
      </c>
      <c r="O102" s="28">
        <v>2021167.62</v>
      </c>
      <c r="P102" s="28">
        <v>181002.77000000002</v>
      </c>
      <c r="Q102" s="28">
        <v>398667</v>
      </c>
      <c r="R102" s="28">
        <v>0</v>
      </c>
      <c r="S102" s="28">
        <v>0</v>
      </c>
      <c r="T102" s="28">
        <v>0</v>
      </c>
      <c r="U102" s="28">
        <v>0</v>
      </c>
      <c r="V102" s="28">
        <v>0</v>
      </c>
      <c r="W102" s="29">
        <f t="shared" si="30"/>
        <v>58040981.880000003</v>
      </c>
      <c r="X102" s="29">
        <f t="shared" si="31"/>
        <v>66721329.690000005</v>
      </c>
      <c r="Y102" s="268"/>
      <c r="AA102" s="106">
        <v>56642592</v>
      </c>
      <c r="AB102" s="106">
        <f t="shared" si="36"/>
        <v>1398389.8800000027</v>
      </c>
    </row>
    <row r="103" spans="2:28" ht="15.75" hidden="1" customHeight="1" thickBot="1" x14ac:dyDescent="0.3">
      <c r="B103" s="99">
        <v>2021</v>
      </c>
      <c r="D103" s="27">
        <v>898497511.26999998</v>
      </c>
      <c r="E103" s="27">
        <v>72025789.390000001</v>
      </c>
      <c r="F103" s="27"/>
      <c r="G103" s="29">
        <v>1226417.51</v>
      </c>
      <c r="H103" s="29"/>
      <c r="I103" s="29"/>
      <c r="J103" s="28">
        <f t="shared" si="34"/>
        <v>807981.54</v>
      </c>
      <c r="K103" s="28">
        <v>0</v>
      </c>
      <c r="L103" s="28">
        <v>0</v>
      </c>
      <c r="M103" s="28">
        <v>11249585.810000001</v>
      </c>
      <c r="N103" s="28">
        <v>1347.48</v>
      </c>
      <c r="O103" s="28">
        <v>180798.6</v>
      </c>
      <c r="P103" s="28">
        <v>0</v>
      </c>
      <c r="Q103" s="28">
        <v>56315</v>
      </c>
      <c r="R103" s="28">
        <v>0</v>
      </c>
      <c r="S103" s="28">
        <v>0</v>
      </c>
      <c r="T103" s="28">
        <v>0</v>
      </c>
      <c r="U103" s="28">
        <v>0</v>
      </c>
      <c r="V103" s="28">
        <v>0</v>
      </c>
      <c r="W103" s="29">
        <f t="shared" si="30"/>
        <v>12296028.430000002</v>
      </c>
      <c r="X103" s="29">
        <f t="shared" si="31"/>
        <v>13522445.940000001</v>
      </c>
      <c r="Y103" s="268"/>
      <c r="AA103" s="106">
        <v>5349566</v>
      </c>
      <c r="AB103" s="106">
        <f t="shared" si="36"/>
        <v>6946462.4300000016</v>
      </c>
    </row>
    <row r="104" spans="2:28" ht="15" hidden="1" customHeight="1" x14ac:dyDescent="0.25"/>
    <row r="105" spans="2:28" x14ac:dyDescent="0.25">
      <c r="C105" s="255" t="s">
        <v>154</v>
      </c>
    </row>
    <row r="106" spans="2:28" hidden="1" outlineLevel="1" x14ac:dyDescent="0.25"/>
    <row r="107" spans="2:28" ht="15.75" hidden="1" outlineLevel="1" thickBot="1" x14ac:dyDescent="0.3"/>
    <row r="108" spans="2:28" ht="15.75" hidden="1" outlineLevel="2" thickBot="1" x14ac:dyDescent="0.3">
      <c r="B108" s="202"/>
      <c r="C108" s="201" t="s">
        <v>162</v>
      </c>
      <c r="D108" s="124">
        <f>SUM(D68:D84)</f>
        <v>81071910375.349991</v>
      </c>
      <c r="F108" s="124">
        <f t="shared" ref="F108:X108" si="37">SUM(F68:F84)</f>
        <v>6734784736.9689999</v>
      </c>
      <c r="G108" s="124">
        <f t="shared" si="37"/>
        <v>68767293.034571007</v>
      </c>
      <c r="H108" s="124"/>
      <c r="I108" s="124"/>
      <c r="J108" s="124">
        <f t="shared" si="37"/>
        <v>444285001.77000004</v>
      </c>
      <c r="K108" s="124">
        <f t="shared" si="37"/>
        <v>105934.34</v>
      </c>
      <c r="L108" s="124">
        <f t="shared" si="37"/>
        <v>7480150.4699999988</v>
      </c>
      <c r="M108" s="124">
        <f t="shared" si="37"/>
        <v>51437612.870000005</v>
      </c>
      <c r="N108" s="124">
        <f t="shared" si="37"/>
        <v>551914387.77999997</v>
      </c>
      <c r="O108" s="124">
        <f t="shared" si="37"/>
        <v>6666827.1600000001</v>
      </c>
      <c r="P108" s="124">
        <f t="shared" si="37"/>
        <v>8113072.4799999995</v>
      </c>
      <c r="Q108" s="124">
        <f t="shared" si="37"/>
        <v>3905436.77</v>
      </c>
      <c r="R108" s="124">
        <f t="shared" si="37"/>
        <v>0</v>
      </c>
      <c r="S108" s="124">
        <f t="shared" si="37"/>
        <v>4421132</v>
      </c>
      <c r="T108" s="124">
        <f t="shared" si="37"/>
        <v>36675495.700000003</v>
      </c>
      <c r="U108" s="124">
        <f t="shared" si="37"/>
        <v>2301753.2799999998</v>
      </c>
      <c r="V108" s="124">
        <f t="shared" si="37"/>
        <v>1197265.28</v>
      </c>
      <c r="W108" s="124">
        <f t="shared" si="37"/>
        <v>1424239.73</v>
      </c>
      <c r="X108" s="124">
        <f t="shared" si="37"/>
        <v>1423335.06</v>
      </c>
      <c r="Y108" s="124">
        <f>SUM(Z68:Z84)</f>
        <v>1123446289.5532398</v>
      </c>
      <c r="Z108" s="124">
        <f>SUM(AA68:AA84)</f>
        <v>1214461907.46</v>
      </c>
    </row>
    <row r="109" spans="2:28" ht="15.75" collapsed="1" thickBot="1" x14ac:dyDescent="0.3"/>
    <row r="110" spans="2:28" hidden="1" outlineLevel="1" x14ac:dyDescent="0.25">
      <c r="D110" s="281" t="s">
        <v>227</v>
      </c>
      <c r="E110" s="281"/>
      <c r="F110" s="254">
        <v>2005</v>
      </c>
      <c r="G110" s="283">
        <f t="shared" ref="G110:Y110" si="38">G68*$AF26</f>
        <v>0</v>
      </c>
      <c r="H110" s="283">
        <f t="shared" si="38"/>
        <v>0</v>
      </c>
      <c r="I110" s="283">
        <f t="shared" si="38"/>
        <v>0</v>
      </c>
      <c r="J110" s="283">
        <f t="shared" si="38"/>
        <v>5520058.0571993999</v>
      </c>
      <c r="K110" s="283">
        <f t="shared" si="38"/>
        <v>0</v>
      </c>
      <c r="L110" s="283">
        <f t="shared" si="38"/>
        <v>0</v>
      </c>
      <c r="M110" s="283">
        <f t="shared" si="38"/>
        <v>1513340.7190177499</v>
      </c>
      <c r="N110" s="283">
        <f t="shared" si="38"/>
        <v>3408491.4303341</v>
      </c>
      <c r="O110" s="283">
        <f t="shared" si="38"/>
        <v>173.10152199999999</v>
      </c>
      <c r="P110" s="283">
        <f t="shared" si="38"/>
        <v>0</v>
      </c>
      <c r="Q110" s="283">
        <f t="shared" si="38"/>
        <v>622.87422349999997</v>
      </c>
      <c r="R110" s="283">
        <f t="shared" si="38"/>
        <v>0</v>
      </c>
      <c r="S110" s="283">
        <f t="shared" si="38"/>
        <v>0</v>
      </c>
      <c r="T110" s="283">
        <f t="shared" si="38"/>
        <v>2659853.8215230997</v>
      </c>
      <c r="U110" s="283">
        <f t="shared" si="38"/>
        <v>46359.984850249995</v>
      </c>
      <c r="V110" s="283">
        <f t="shared" si="38"/>
        <v>110354.31775075001</v>
      </c>
      <c r="W110" s="283">
        <f t="shared" si="38"/>
        <v>126116.72629319999</v>
      </c>
      <c r="X110" s="283">
        <f t="shared" si="38"/>
        <v>139191.61198779999</v>
      </c>
      <c r="Y110" s="283">
        <f t="shared" si="38"/>
        <v>0</v>
      </c>
      <c r="Z110" s="283">
        <f t="shared" ref="Z110:Z126" si="39">SUM(G110:Y110)</f>
        <v>13524562.644701852</v>
      </c>
      <c r="AA110" s="283"/>
      <c r="AB110" s="283"/>
    </row>
    <row r="111" spans="2:28" hidden="1" outlineLevel="1" x14ac:dyDescent="0.25">
      <c r="D111" s="281"/>
      <c r="E111" s="281"/>
      <c r="F111" s="254">
        <v>2006</v>
      </c>
      <c r="G111" s="283">
        <f t="shared" ref="G111:Y111" si="40">G69*$AF27</f>
        <v>0</v>
      </c>
      <c r="H111" s="283">
        <f t="shared" si="40"/>
        <v>0</v>
      </c>
      <c r="I111" s="283">
        <f t="shared" si="40"/>
        <v>0</v>
      </c>
      <c r="J111" s="283">
        <f t="shared" si="40"/>
        <v>5813669.7223831508</v>
      </c>
      <c r="K111" s="283">
        <f t="shared" si="40"/>
        <v>0</v>
      </c>
      <c r="L111" s="283">
        <f t="shared" si="40"/>
        <v>0</v>
      </c>
      <c r="M111" s="283">
        <f t="shared" si="40"/>
        <v>1538151.3771197</v>
      </c>
      <c r="N111" s="283">
        <f t="shared" si="40"/>
        <v>4163093.6581047503</v>
      </c>
      <c r="O111" s="283">
        <f t="shared" si="40"/>
        <v>381.07982730000003</v>
      </c>
      <c r="P111" s="283">
        <f t="shared" si="40"/>
        <v>0</v>
      </c>
      <c r="Q111" s="283">
        <f t="shared" si="40"/>
        <v>21.468153350000001</v>
      </c>
      <c r="R111" s="283">
        <f t="shared" si="40"/>
        <v>0</v>
      </c>
      <c r="S111" s="283">
        <f t="shared" si="40"/>
        <v>0</v>
      </c>
      <c r="T111" s="283">
        <f t="shared" si="40"/>
        <v>2666158.4662976502</v>
      </c>
      <c r="U111" s="283">
        <f t="shared" si="40"/>
        <v>62088.3077816</v>
      </c>
      <c r="V111" s="283">
        <f t="shared" si="40"/>
        <v>91068.265146450009</v>
      </c>
      <c r="W111" s="283">
        <f t="shared" si="40"/>
        <v>131846.40623335002</v>
      </c>
      <c r="X111" s="283">
        <f t="shared" si="40"/>
        <v>127595.53363895002</v>
      </c>
      <c r="Y111" s="283">
        <f t="shared" si="40"/>
        <v>0</v>
      </c>
      <c r="Z111" s="283">
        <f t="shared" si="39"/>
        <v>14594074.284686251</v>
      </c>
      <c r="AA111" s="283"/>
      <c r="AB111" s="283"/>
    </row>
    <row r="112" spans="2:28" hidden="1" outlineLevel="1" x14ac:dyDescent="0.25">
      <c r="D112" s="281"/>
      <c r="E112" s="281"/>
      <c r="F112" s="254">
        <v>2007</v>
      </c>
      <c r="G112" s="283">
        <f t="shared" ref="G112:Y112" si="41">G70*$AF28</f>
        <v>0</v>
      </c>
      <c r="H112" s="283">
        <f t="shared" si="41"/>
        <v>0</v>
      </c>
      <c r="I112" s="283">
        <f t="shared" si="41"/>
        <v>0</v>
      </c>
      <c r="J112" s="283">
        <f t="shared" si="41"/>
        <v>7718243.1076762006</v>
      </c>
      <c r="K112" s="283">
        <f t="shared" si="41"/>
        <v>0</v>
      </c>
      <c r="L112" s="283">
        <f t="shared" si="41"/>
        <v>0</v>
      </c>
      <c r="M112" s="283">
        <f t="shared" si="41"/>
        <v>1436718.6257402501</v>
      </c>
      <c r="N112" s="283">
        <f t="shared" si="41"/>
        <v>4877985.4642756507</v>
      </c>
      <c r="O112" s="283">
        <f t="shared" si="41"/>
        <v>37219.750654750009</v>
      </c>
      <c r="P112" s="283">
        <f t="shared" si="41"/>
        <v>0</v>
      </c>
      <c r="Q112" s="283">
        <f t="shared" si="41"/>
        <v>5.7207836000000007</v>
      </c>
      <c r="R112" s="283">
        <f t="shared" si="41"/>
        <v>0</v>
      </c>
      <c r="S112" s="283">
        <f t="shared" si="41"/>
        <v>0</v>
      </c>
      <c r="T112" s="283">
        <f t="shared" si="41"/>
        <v>1321166.1979580005</v>
      </c>
      <c r="U112" s="283">
        <f t="shared" si="41"/>
        <v>73715.880869950008</v>
      </c>
      <c r="V112" s="283">
        <f t="shared" si="41"/>
        <v>58809.007690100007</v>
      </c>
      <c r="W112" s="283">
        <f t="shared" si="41"/>
        <v>51602.493987600006</v>
      </c>
      <c r="X112" s="283">
        <f t="shared" si="41"/>
        <v>39481.722842300005</v>
      </c>
      <c r="Y112" s="283">
        <f t="shared" si="41"/>
        <v>0</v>
      </c>
      <c r="Z112" s="283">
        <f t="shared" si="39"/>
        <v>15614947.972478401</v>
      </c>
      <c r="AA112" s="283"/>
      <c r="AB112" s="283"/>
    </row>
    <row r="113" spans="4:29" hidden="1" outlineLevel="1" x14ac:dyDescent="0.25">
      <c r="D113" s="281"/>
      <c r="E113" s="281"/>
      <c r="F113" s="254">
        <v>2008</v>
      </c>
      <c r="G113" s="283">
        <f t="shared" ref="G113:Y113" si="42">G71*$AF29</f>
        <v>0</v>
      </c>
      <c r="H113" s="283">
        <f t="shared" si="42"/>
        <v>0</v>
      </c>
      <c r="I113" s="283">
        <f t="shared" si="42"/>
        <v>0</v>
      </c>
      <c r="J113" s="283">
        <f t="shared" si="42"/>
        <v>8387660.4702172</v>
      </c>
      <c r="K113" s="283">
        <f t="shared" si="42"/>
        <v>0</v>
      </c>
      <c r="L113" s="283">
        <f t="shared" si="42"/>
        <v>0</v>
      </c>
      <c r="M113" s="283">
        <f t="shared" si="42"/>
        <v>1503828.7447392999</v>
      </c>
      <c r="N113" s="283">
        <f t="shared" si="42"/>
        <v>4574497.0748672998</v>
      </c>
      <c r="O113" s="283">
        <f t="shared" si="42"/>
        <v>221.20653060000001</v>
      </c>
      <c r="P113" s="283">
        <f t="shared" si="42"/>
        <v>0</v>
      </c>
      <c r="Q113" s="283">
        <f t="shared" si="42"/>
        <v>5.2295612999999994</v>
      </c>
      <c r="R113" s="283">
        <f t="shared" si="42"/>
        <v>0</v>
      </c>
      <c r="S113" s="283">
        <f t="shared" si="42"/>
        <v>0</v>
      </c>
      <c r="T113" s="283">
        <f t="shared" si="42"/>
        <v>375419.69878630049</v>
      </c>
      <c r="U113" s="283">
        <f t="shared" si="42"/>
        <v>80977.168032450005</v>
      </c>
      <c r="V113" s="283">
        <f t="shared" si="42"/>
        <v>4.3470999999999996E-3</v>
      </c>
      <c r="W113" s="283">
        <f t="shared" si="42"/>
        <v>0</v>
      </c>
      <c r="X113" s="283">
        <f t="shared" si="42"/>
        <v>1502.57728855</v>
      </c>
      <c r="Y113" s="283">
        <f t="shared" si="42"/>
        <v>0</v>
      </c>
      <c r="Z113" s="283">
        <f t="shared" si="39"/>
        <v>14924112.174370101</v>
      </c>
      <c r="AA113" s="283"/>
      <c r="AB113" s="283"/>
    </row>
    <row r="114" spans="4:29" hidden="1" outlineLevel="1" x14ac:dyDescent="0.25">
      <c r="D114" s="281"/>
      <c r="E114" s="281"/>
      <c r="F114" s="254">
        <v>2009</v>
      </c>
      <c r="G114" s="283">
        <f t="shared" ref="G114:Y114" si="43">G72*$AF30</f>
        <v>0</v>
      </c>
      <c r="H114" s="283">
        <f t="shared" si="43"/>
        <v>0</v>
      </c>
      <c r="I114" s="283">
        <f t="shared" si="43"/>
        <v>0</v>
      </c>
      <c r="J114" s="283">
        <f t="shared" si="43"/>
        <v>8104182.266810501</v>
      </c>
      <c r="K114" s="283">
        <f t="shared" si="43"/>
        <v>0</v>
      </c>
      <c r="L114" s="283">
        <f t="shared" si="43"/>
        <v>0</v>
      </c>
      <c r="M114" s="283">
        <f t="shared" si="43"/>
        <v>800632.25686315005</v>
      </c>
      <c r="N114" s="283">
        <f t="shared" si="43"/>
        <v>4876542.894355501</v>
      </c>
      <c r="O114" s="283">
        <f t="shared" si="43"/>
        <v>489.49650130000003</v>
      </c>
      <c r="P114" s="283">
        <f t="shared" si="43"/>
        <v>0</v>
      </c>
      <c r="Q114" s="283">
        <f t="shared" si="43"/>
        <v>2.5147973500000003</v>
      </c>
      <c r="R114" s="283">
        <f t="shared" si="43"/>
        <v>0</v>
      </c>
      <c r="S114" s="283">
        <f t="shared" si="43"/>
        <v>0</v>
      </c>
      <c r="T114" s="283">
        <f t="shared" si="43"/>
        <v>343584.07491914934</v>
      </c>
      <c r="U114" s="283">
        <f t="shared" si="43"/>
        <v>85390.376555700015</v>
      </c>
      <c r="V114" s="283">
        <f t="shared" si="43"/>
        <v>0</v>
      </c>
      <c r="W114" s="283">
        <f t="shared" si="43"/>
        <v>0</v>
      </c>
      <c r="X114" s="283">
        <f t="shared" si="43"/>
        <v>864.73599975000002</v>
      </c>
      <c r="Y114" s="283">
        <f t="shared" si="43"/>
        <v>0</v>
      </c>
      <c r="Z114" s="283">
        <f t="shared" si="39"/>
        <v>14211688.616802402</v>
      </c>
      <c r="AA114" s="283"/>
      <c r="AB114" s="283"/>
    </row>
    <row r="115" spans="4:29" hidden="1" outlineLevel="1" x14ac:dyDescent="0.25">
      <c r="D115" s="281"/>
      <c r="E115" s="281"/>
      <c r="F115" s="254">
        <v>2010</v>
      </c>
      <c r="G115" s="283">
        <f t="shared" ref="G115:Y115" si="44">G73*$AF31</f>
        <v>0</v>
      </c>
      <c r="H115" s="283">
        <f t="shared" si="44"/>
        <v>0</v>
      </c>
      <c r="I115" s="283">
        <f t="shared" si="44"/>
        <v>0</v>
      </c>
      <c r="J115" s="283">
        <f t="shared" si="44"/>
        <v>7659433.4587888503</v>
      </c>
      <c r="K115" s="283">
        <f t="shared" si="44"/>
        <v>0</v>
      </c>
      <c r="L115" s="283">
        <f t="shared" si="44"/>
        <v>0</v>
      </c>
      <c r="M115" s="283">
        <f t="shared" si="44"/>
        <v>450952.63267945003</v>
      </c>
      <c r="N115" s="283">
        <f t="shared" si="44"/>
        <v>5120388.3849220509</v>
      </c>
      <c r="O115" s="283">
        <f t="shared" si="44"/>
        <v>333.05741360000002</v>
      </c>
      <c r="P115" s="283">
        <f t="shared" si="44"/>
        <v>0</v>
      </c>
      <c r="Q115" s="283">
        <f t="shared" si="44"/>
        <v>46499.146389000001</v>
      </c>
      <c r="R115" s="283">
        <f t="shared" si="44"/>
        <v>0</v>
      </c>
      <c r="S115" s="283">
        <f t="shared" si="44"/>
        <v>0</v>
      </c>
      <c r="T115" s="283">
        <f t="shared" si="44"/>
        <v>331437.05815760104</v>
      </c>
      <c r="U115" s="283">
        <f t="shared" si="44"/>
        <v>69183.853062400012</v>
      </c>
      <c r="V115" s="283">
        <f t="shared" si="44"/>
        <v>0</v>
      </c>
      <c r="W115" s="283">
        <f t="shared" si="44"/>
        <v>0</v>
      </c>
      <c r="X115" s="283">
        <f t="shared" si="44"/>
        <v>720.20361894999996</v>
      </c>
      <c r="Y115" s="283">
        <f t="shared" si="44"/>
        <v>0</v>
      </c>
      <c r="Z115" s="283">
        <f t="shared" si="39"/>
        <v>13678947.795031901</v>
      </c>
      <c r="AA115" s="283"/>
      <c r="AB115" s="283"/>
    </row>
    <row r="116" spans="4:29" hidden="1" outlineLevel="1" x14ac:dyDescent="0.25">
      <c r="D116" s="281"/>
      <c r="E116" s="281"/>
      <c r="F116" s="254">
        <v>2011</v>
      </c>
      <c r="G116" s="283">
        <f t="shared" ref="G116:Y116" si="45">G74*$AF32</f>
        <v>0</v>
      </c>
      <c r="H116" s="283">
        <f t="shared" si="45"/>
        <v>0</v>
      </c>
      <c r="I116" s="283">
        <f t="shared" si="45"/>
        <v>0</v>
      </c>
      <c r="J116" s="283">
        <f t="shared" si="45"/>
        <v>7936073.7471898971</v>
      </c>
      <c r="K116" s="283">
        <f t="shared" si="45"/>
        <v>0</v>
      </c>
      <c r="L116" s="283">
        <f t="shared" si="45"/>
        <v>0</v>
      </c>
      <c r="M116" s="283">
        <f t="shared" si="45"/>
        <v>320445.93907895806</v>
      </c>
      <c r="N116" s="283">
        <f t="shared" si="45"/>
        <v>6780696.8771656537</v>
      </c>
      <c r="O116" s="283">
        <f t="shared" si="45"/>
        <v>53261.625125296014</v>
      </c>
      <c r="P116" s="283">
        <f t="shared" si="45"/>
        <v>0</v>
      </c>
      <c r="Q116" s="283">
        <f t="shared" si="45"/>
        <v>283117.05630096007</v>
      </c>
      <c r="R116" s="283">
        <f t="shared" si="45"/>
        <v>0</v>
      </c>
      <c r="S116" s="283">
        <f t="shared" si="45"/>
        <v>0</v>
      </c>
      <c r="T116" s="283">
        <f t="shared" si="45"/>
        <v>315524.15219390782</v>
      </c>
      <c r="U116" s="283">
        <f t="shared" si="45"/>
        <v>86608.505657940012</v>
      </c>
      <c r="V116" s="283">
        <f t="shared" si="45"/>
        <v>0</v>
      </c>
      <c r="W116" s="283">
        <f t="shared" si="45"/>
        <v>0</v>
      </c>
      <c r="X116" s="283">
        <f t="shared" si="45"/>
        <v>14.517991600000002</v>
      </c>
      <c r="Y116" s="283">
        <f t="shared" si="45"/>
        <v>0</v>
      </c>
      <c r="Z116" s="283">
        <f t="shared" si="39"/>
        <v>15775742.420704212</v>
      </c>
      <c r="AA116" s="283"/>
      <c r="AB116" s="283"/>
    </row>
    <row r="117" spans="4:29" ht="15.75" collapsed="1" thickBot="1" x14ac:dyDescent="0.3">
      <c r="D117" s="298" t="s">
        <v>227</v>
      </c>
      <c r="E117" s="281"/>
      <c r="F117" s="254">
        <v>2012</v>
      </c>
      <c r="G117" s="283">
        <f t="shared" ref="G117:Y117" si="46">G75*$AF33</f>
        <v>0</v>
      </c>
      <c r="H117" s="283">
        <f t="shared" si="46"/>
        <v>0</v>
      </c>
      <c r="I117" s="283">
        <f t="shared" si="46"/>
        <v>0</v>
      </c>
      <c r="J117" s="283">
        <f t="shared" si="46"/>
        <v>7914253.5410230309</v>
      </c>
      <c r="K117" s="283">
        <f t="shared" si="46"/>
        <v>12812.316004040034</v>
      </c>
      <c r="L117" s="283">
        <f t="shared" si="46"/>
        <v>296519.95491054642</v>
      </c>
      <c r="M117" s="283">
        <f t="shared" si="46"/>
        <v>313209.26658825373</v>
      </c>
      <c r="N117" s="283">
        <f t="shared" si="46"/>
        <v>7981368.2196983378</v>
      </c>
      <c r="O117" s="283">
        <f t="shared" si="46"/>
        <v>38212.100887112741</v>
      </c>
      <c r="P117" s="283">
        <f t="shared" si="46"/>
        <v>0</v>
      </c>
      <c r="Q117" s="283">
        <f t="shared" si="46"/>
        <v>0</v>
      </c>
      <c r="R117" s="283">
        <f t="shared" si="46"/>
        <v>0</v>
      </c>
      <c r="S117" s="283">
        <f t="shared" si="46"/>
        <v>0</v>
      </c>
      <c r="T117" s="283">
        <f t="shared" si="46"/>
        <v>0</v>
      </c>
      <c r="U117" s="283">
        <f t="shared" si="46"/>
        <v>9024.2257653119013</v>
      </c>
      <c r="V117" s="283">
        <f t="shared" si="46"/>
        <v>0</v>
      </c>
      <c r="W117" s="283">
        <f t="shared" si="46"/>
        <v>0</v>
      </c>
      <c r="X117" s="283">
        <f t="shared" si="46"/>
        <v>0</v>
      </c>
      <c r="Y117" s="283">
        <f t="shared" si="46"/>
        <v>25644.068388222622</v>
      </c>
      <c r="Z117" s="283">
        <f t="shared" si="39"/>
        <v>16591043.693264855</v>
      </c>
      <c r="AA117" s="283"/>
      <c r="AB117" s="283"/>
    </row>
    <row r="118" spans="4:29" x14ac:dyDescent="0.25">
      <c r="D118" s="281"/>
      <c r="E118" s="281"/>
      <c r="F118" s="254">
        <v>2013</v>
      </c>
      <c r="G118" s="283">
        <f t="shared" ref="G118:Y118" si="47">G76*$AF34</f>
        <v>2157259.1024888526</v>
      </c>
      <c r="H118" s="283">
        <f t="shared" si="47"/>
        <v>0</v>
      </c>
      <c r="I118" s="283">
        <f t="shared" si="47"/>
        <v>13710.25587617274</v>
      </c>
      <c r="J118" s="283">
        <f t="shared" si="47"/>
        <v>7170290.1412620125</v>
      </c>
      <c r="K118" s="283">
        <f t="shared" si="47"/>
        <v>23.402241573680762</v>
      </c>
      <c r="L118" s="283">
        <f t="shared" si="47"/>
        <v>266639.29357533413</v>
      </c>
      <c r="M118" s="283">
        <f t="shared" si="47"/>
        <v>375513.53184198408</v>
      </c>
      <c r="N118" s="283">
        <f t="shared" si="47"/>
        <v>10006801.319755718</v>
      </c>
      <c r="O118" s="283">
        <f t="shared" si="47"/>
        <v>67050.177886575097</v>
      </c>
      <c r="P118" s="283">
        <f t="shared" si="47"/>
        <v>0</v>
      </c>
      <c r="Q118" s="283">
        <f t="shared" si="47"/>
        <v>0</v>
      </c>
      <c r="R118" s="283">
        <f t="shared" si="47"/>
        <v>0</v>
      </c>
      <c r="S118" s="283">
        <f t="shared" si="47"/>
        <v>0</v>
      </c>
      <c r="T118" s="283">
        <f t="shared" si="47"/>
        <v>0</v>
      </c>
      <c r="U118" s="283">
        <f t="shared" si="47"/>
        <v>43.745423781530853</v>
      </c>
      <c r="V118" s="283">
        <f t="shared" si="47"/>
        <v>0</v>
      </c>
      <c r="W118" s="283">
        <f t="shared" si="47"/>
        <v>0</v>
      </c>
      <c r="X118" s="283">
        <f t="shared" si="47"/>
        <v>0</v>
      </c>
      <c r="Y118" s="283">
        <f t="shared" si="47"/>
        <v>13624.04562289458</v>
      </c>
      <c r="Z118" s="283">
        <f t="shared" si="39"/>
        <v>20070955.015974902</v>
      </c>
      <c r="AA118" s="283"/>
      <c r="AB118" s="283"/>
    </row>
    <row r="119" spans="4:29" x14ac:dyDescent="0.25">
      <c r="D119" s="281"/>
      <c r="E119" s="281"/>
      <c r="F119" s="254">
        <v>2014</v>
      </c>
      <c r="G119" s="283">
        <f t="shared" ref="G119:Y119" si="48">G77*$AF35</f>
        <v>2383265.496177136</v>
      </c>
      <c r="H119" s="283">
        <f t="shared" si="48"/>
        <v>336648.09862573759</v>
      </c>
      <c r="I119" s="283">
        <f t="shared" si="48"/>
        <v>452476.15647884074</v>
      </c>
      <c r="J119" s="283">
        <f t="shared" si="48"/>
        <v>7009500.6400064174</v>
      </c>
      <c r="K119" s="283">
        <f t="shared" si="48"/>
        <v>7.1603987635426307</v>
      </c>
      <c r="L119" s="283">
        <f t="shared" si="48"/>
        <v>249929.12715717262</v>
      </c>
      <c r="M119" s="283">
        <f t="shared" si="48"/>
        <v>770270.95934750314</v>
      </c>
      <c r="N119" s="283">
        <f t="shared" si="48"/>
        <v>12266809.580228154</v>
      </c>
      <c r="O119" s="283">
        <f t="shared" si="48"/>
        <v>21631.296078276111</v>
      </c>
      <c r="P119" s="283">
        <f t="shared" si="48"/>
        <v>0</v>
      </c>
      <c r="Q119" s="283">
        <f t="shared" si="48"/>
        <v>0</v>
      </c>
      <c r="R119" s="283">
        <f t="shared" si="48"/>
        <v>0</v>
      </c>
      <c r="S119" s="283">
        <f t="shared" si="48"/>
        <v>21.429764854975954</v>
      </c>
      <c r="T119" s="283">
        <f t="shared" si="48"/>
        <v>0</v>
      </c>
      <c r="U119" s="283">
        <f t="shared" si="48"/>
        <v>14.286509903317302</v>
      </c>
      <c r="V119" s="283">
        <f t="shared" si="48"/>
        <v>0</v>
      </c>
      <c r="W119" s="283">
        <f t="shared" si="48"/>
        <v>0</v>
      </c>
      <c r="X119" s="283">
        <f t="shared" si="48"/>
        <v>0</v>
      </c>
      <c r="Y119" s="283">
        <f t="shared" si="48"/>
        <v>150205.32447214326</v>
      </c>
      <c r="Z119" s="283">
        <f t="shared" si="39"/>
        <v>23640779.555244904</v>
      </c>
      <c r="AA119" s="283"/>
      <c r="AB119" s="283"/>
    </row>
    <row r="120" spans="4:29" x14ac:dyDescent="0.25">
      <c r="D120" s="281"/>
      <c r="E120" s="281"/>
      <c r="F120" s="254">
        <v>2015</v>
      </c>
      <c r="G120" s="283">
        <f t="shared" ref="G120:Y120" si="49">G78*$AF36</f>
        <v>2585045.7432662644</v>
      </c>
      <c r="H120" s="283">
        <f t="shared" si="49"/>
        <v>613397.2245882909</v>
      </c>
      <c r="I120" s="283">
        <f t="shared" si="49"/>
        <v>510917.11127006524</v>
      </c>
      <c r="J120" s="283">
        <f t="shared" si="49"/>
        <v>7618686.0732420105</v>
      </c>
      <c r="K120" s="283">
        <f t="shared" si="49"/>
        <v>0.75048221986221719</v>
      </c>
      <c r="L120" s="283">
        <f t="shared" si="49"/>
        <v>250064.26325740849</v>
      </c>
      <c r="M120" s="283">
        <f t="shared" si="49"/>
        <v>819965.68682178145</v>
      </c>
      <c r="N120" s="283">
        <f t="shared" si="49"/>
        <v>13736354.863982106</v>
      </c>
      <c r="O120" s="283">
        <f t="shared" si="49"/>
        <v>110659.43914986214</v>
      </c>
      <c r="P120" s="283">
        <f t="shared" si="49"/>
        <v>0</v>
      </c>
      <c r="Q120" s="283">
        <f t="shared" si="49"/>
        <v>0</v>
      </c>
      <c r="R120" s="283">
        <f t="shared" si="49"/>
        <v>0</v>
      </c>
      <c r="S120" s="283">
        <f t="shared" si="49"/>
        <v>322033.39207664185</v>
      </c>
      <c r="T120" s="283">
        <f t="shared" si="49"/>
        <v>0</v>
      </c>
      <c r="U120" s="283">
        <f t="shared" si="49"/>
        <v>14.715337644357202</v>
      </c>
      <c r="V120" s="283">
        <f t="shared" si="49"/>
        <v>0</v>
      </c>
      <c r="W120" s="283">
        <f t="shared" si="49"/>
        <v>0</v>
      </c>
      <c r="X120" s="283">
        <f t="shared" si="49"/>
        <v>0</v>
      </c>
      <c r="Y120" s="283">
        <f t="shared" si="49"/>
        <v>93612.767292966062</v>
      </c>
      <c r="Z120" s="283">
        <f t="shared" si="39"/>
        <v>26660752.030767258</v>
      </c>
      <c r="AA120" s="283"/>
      <c r="AB120" s="283"/>
    </row>
    <row r="121" spans="4:29" x14ac:dyDescent="0.25">
      <c r="D121" s="281"/>
      <c r="E121" s="281"/>
      <c r="F121" s="254">
        <v>2016</v>
      </c>
      <c r="G121" s="283">
        <f t="shared" ref="G121:Y121" si="50">G79*$AF37</f>
        <v>2688293.4008697881</v>
      </c>
      <c r="H121" s="283">
        <f t="shared" si="50"/>
        <v>652680.32405023894</v>
      </c>
      <c r="I121" s="283">
        <f t="shared" si="50"/>
        <v>474521.03625972598</v>
      </c>
      <c r="J121" s="283">
        <f t="shared" si="50"/>
        <v>7597238.6277021579</v>
      </c>
      <c r="K121" s="283">
        <f t="shared" si="50"/>
        <v>1.208939591596594E-2</v>
      </c>
      <c r="L121" s="283">
        <f t="shared" si="50"/>
        <v>247721.7595391013</v>
      </c>
      <c r="M121" s="283">
        <f t="shared" si="50"/>
        <v>902367.55642091506</v>
      </c>
      <c r="N121" s="283">
        <f t="shared" si="50"/>
        <v>13901502.83415773</v>
      </c>
      <c r="O121" s="283">
        <f t="shared" si="50"/>
        <v>442600.08345629729</v>
      </c>
      <c r="P121" s="283">
        <f t="shared" si="50"/>
        <v>0</v>
      </c>
      <c r="Q121" s="283">
        <f t="shared" si="50"/>
        <v>137646.75190208881</v>
      </c>
      <c r="R121" s="283">
        <f t="shared" si="50"/>
        <v>0</v>
      </c>
      <c r="S121" s="283">
        <f t="shared" si="50"/>
        <v>260854.40685328658</v>
      </c>
      <c r="T121" s="283">
        <f t="shared" si="50"/>
        <v>0</v>
      </c>
      <c r="U121" s="283">
        <f t="shared" si="50"/>
        <v>10.880456324369344</v>
      </c>
      <c r="V121" s="283">
        <f t="shared" si="50"/>
        <v>0</v>
      </c>
      <c r="W121" s="283">
        <f t="shared" si="50"/>
        <v>0</v>
      </c>
      <c r="X121" s="283">
        <f t="shared" si="50"/>
        <v>0</v>
      </c>
      <c r="Y121" s="283">
        <f t="shared" si="50"/>
        <v>133909.49034210644</v>
      </c>
      <c r="Z121" s="283">
        <f t="shared" si="39"/>
        <v>27439347.164099157</v>
      </c>
      <c r="AA121" s="283"/>
      <c r="AB121" s="283"/>
    </row>
    <row r="122" spans="4:29" x14ac:dyDescent="0.25">
      <c r="D122" s="281"/>
      <c r="E122" s="281"/>
      <c r="F122" s="254">
        <v>2017</v>
      </c>
      <c r="G122" s="283">
        <f t="shared" ref="G122:Y122" si="51">G80*$AF38</f>
        <v>2441544.8136281879</v>
      </c>
      <c r="H122" s="283">
        <f t="shared" si="51"/>
        <v>408476.01181071775</v>
      </c>
      <c r="I122" s="283">
        <f t="shared" si="51"/>
        <v>451969.43238440406</v>
      </c>
      <c r="J122" s="283">
        <f t="shared" si="51"/>
        <v>6725205.0788093181</v>
      </c>
      <c r="K122" s="283">
        <f t="shared" si="51"/>
        <v>2.0598965363862159E-2</v>
      </c>
      <c r="L122" s="283">
        <f t="shared" si="51"/>
        <v>241819.42042478998</v>
      </c>
      <c r="M122" s="283">
        <f t="shared" si="51"/>
        <v>751258.14757999883</v>
      </c>
      <c r="N122" s="283">
        <f t="shared" si="51"/>
        <v>15380234.421277208</v>
      </c>
      <c r="O122" s="283">
        <f t="shared" si="51"/>
        <v>442777.45896067971</v>
      </c>
      <c r="P122" s="283">
        <f t="shared" si="51"/>
        <v>80122.056434596059</v>
      </c>
      <c r="Q122" s="283">
        <f t="shared" si="51"/>
        <v>300093.79632974789</v>
      </c>
      <c r="R122" s="283">
        <f t="shared" si="51"/>
        <v>0</v>
      </c>
      <c r="S122" s="283">
        <f t="shared" si="51"/>
        <v>231907.5661303667</v>
      </c>
      <c r="T122" s="283">
        <f t="shared" si="51"/>
        <v>0</v>
      </c>
      <c r="U122" s="283">
        <f t="shared" si="51"/>
        <v>0</v>
      </c>
      <c r="V122" s="283">
        <f t="shared" si="51"/>
        <v>0</v>
      </c>
      <c r="W122" s="283">
        <f t="shared" si="51"/>
        <v>0</v>
      </c>
      <c r="X122" s="283">
        <f t="shared" si="51"/>
        <v>0</v>
      </c>
      <c r="Y122" s="283">
        <f t="shared" si="51"/>
        <v>85980.980044500349</v>
      </c>
      <c r="Z122" s="283">
        <f t="shared" si="39"/>
        <v>27541389.204413481</v>
      </c>
      <c r="AA122" s="283"/>
      <c r="AB122" s="283"/>
    </row>
    <row r="123" spans="4:29" x14ac:dyDescent="0.25">
      <c r="D123" s="281"/>
      <c r="E123" s="281"/>
      <c r="F123" s="254">
        <v>2018</v>
      </c>
      <c r="G123" s="283">
        <f t="shared" ref="G123:Y123" si="52">G81*$AF39</f>
        <v>2560997.2159899524</v>
      </c>
      <c r="H123" s="283">
        <f t="shared" si="52"/>
        <v>544244.16073068336</v>
      </c>
      <c r="I123" s="283">
        <f t="shared" si="52"/>
        <v>314379.11453272612</v>
      </c>
      <c r="J123" s="283">
        <f t="shared" si="52"/>
        <v>6584952.702716074</v>
      </c>
      <c r="K123" s="283">
        <f t="shared" si="52"/>
        <v>1.1630381044501875E-2</v>
      </c>
      <c r="L123" s="283">
        <f t="shared" si="52"/>
        <v>220835.97723736911</v>
      </c>
      <c r="M123" s="283">
        <f t="shared" si="52"/>
        <v>415054.86213276896</v>
      </c>
      <c r="N123" s="283">
        <f t="shared" si="52"/>
        <v>15099055.495256657</v>
      </c>
      <c r="O123" s="283">
        <f t="shared" si="52"/>
        <v>342082.67636553908</v>
      </c>
      <c r="P123" s="283">
        <f t="shared" si="52"/>
        <v>796032.06522659468</v>
      </c>
      <c r="Q123" s="283">
        <f t="shared" si="52"/>
        <v>181173.06321702001</v>
      </c>
      <c r="R123" s="283">
        <f t="shared" si="52"/>
        <v>0</v>
      </c>
      <c r="S123" s="283">
        <f t="shared" si="52"/>
        <v>189524.32810831084</v>
      </c>
      <c r="T123" s="283">
        <f t="shared" si="52"/>
        <v>0</v>
      </c>
      <c r="U123" s="283">
        <f t="shared" si="52"/>
        <v>14.537976305627343</v>
      </c>
      <c r="V123" s="283">
        <f t="shared" si="52"/>
        <v>0</v>
      </c>
      <c r="W123" s="283">
        <f t="shared" si="52"/>
        <v>0</v>
      </c>
      <c r="X123" s="283">
        <f t="shared" si="52"/>
        <v>0</v>
      </c>
      <c r="Y123" s="283">
        <f t="shared" si="52"/>
        <v>74225.645532746174</v>
      </c>
      <c r="Z123" s="283">
        <f t="shared" si="39"/>
        <v>27322571.856653132</v>
      </c>
      <c r="AA123" s="283"/>
      <c r="AB123" s="283"/>
    </row>
    <row r="124" spans="4:29" x14ac:dyDescent="0.25">
      <c r="D124" s="281"/>
      <c r="E124" s="281"/>
      <c r="F124" s="254">
        <v>2019</v>
      </c>
      <c r="G124" s="283">
        <f t="shared" ref="G124:Y124" si="53">G82*$AF40</f>
        <v>2632428.5275824605</v>
      </c>
      <c r="H124" s="283">
        <f t="shared" si="53"/>
        <v>435127.11766804272</v>
      </c>
      <c r="I124" s="283">
        <f t="shared" si="53"/>
        <v>364447.83301189082</v>
      </c>
      <c r="J124" s="283">
        <f t="shared" si="53"/>
        <v>6066402.0168233663</v>
      </c>
      <c r="K124" s="283">
        <f t="shared" si="53"/>
        <v>15601.564825117719</v>
      </c>
      <c r="L124" s="283">
        <f t="shared" si="53"/>
        <v>210096.78359957118</v>
      </c>
      <c r="M124" s="283">
        <f t="shared" si="53"/>
        <v>301956.72137149377</v>
      </c>
      <c r="N124" s="283">
        <f t="shared" si="53"/>
        <v>12782375.620855693</v>
      </c>
      <c r="O124" s="283">
        <f t="shared" si="53"/>
        <v>112219.24738223135</v>
      </c>
      <c r="P124" s="283">
        <f t="shared" si="53"/>
        <v>781054.4669707435</v>
      </c>
      <c r="Q124" s="283">
        <f t="shared" si="53"/>
        <v>74592.778969232226</v>
      </c>
      <c r="R124" s="283">
        <f t="shared" si="53"/>
        <v>0</v>
      </c>
      <c r="S124" s="283">
        <f t="shared" si="53"/>
        <v>147265.77710052746</v>
      </c>
      <c r="T124" s="283">
        <f t="shared" si="53"/>
        <v>0</v>
      </c>
      <c r="U124" s="283">
        <f t="shared" si="53"/>
        <v>0</v>
      </c>
      <c r="V124" s="283">
        <f t="shared" si="53"/>
        <v>0</v>
      </c>
      <c r="W124" s="283">
        <f t="shared" si="53"/>
        <v>0</v>
      </c>
      <c r="X124" s="283">
        <f t="shared" si="53"/>
        <v>0</v>
      </c>
      <c r="Y124" s="283">
        <f t="shared" si="53"/>
        <v>17232.798911447138</v>
      </c>
      <c r="Z124" s="283">
        <f t="shared" si="39"/>
        <v>23940801.255071815</v>
      </c>
      <c r="AA124" s="283"/>
      <c r="AB124" s="283"/>
    </row>
    <row r="125" spans="4:29" x14ac:dyDescent="0.25">
      <c r="D125" s="281"/>
      <c r="E125" s="281"/>
      <c r="F125" s="254">
        <v>2020</v>
      </c>
      <c r="G125" s="283">
        <f t="shared" ref="G125:Y125" si="54">G83*$AF41</f>
        <v>1607344.7223292063</v>
      </c>
      <c r="H125" s="283">
        <f t="shared" si="54"/>
        <v>282393.8491342637</v>
      </c>
      <c r="I125" s="283">
        <f t="shared" si="54"/>
        <v>165836.45637953348</v>
      </c>
      <c r="J125" s="283">
        <f t="shared" si="54"/>
        <v>3629240.7189458511</v>
      </c>
      <c r="K125" s="283">
        <f t="shared" si="54"/>
        <v>6.3892684661160883</v>
      </c>
      <c r="L125" s="283">
        <f t="shared" si="54"/>
        <v>130010.62506986462</v>
      </c>
      <c r="M125" s="283">
        <f t="shared" si="54"/>
        <v>190716.65853132526</v>
      </c>
      <c r="N125" s="283">
        <f t="shared" si="54"/>
        <v>8958259.4022000693</v>
      </c>
      <c r="O125" s="283">
        <f t="shared" si="54"/>
        <v>209923.7468004355</v>
      </c>
      <c r="P125" s="283">
        <f t="shared" si="54"/>
        <v>476145.30835654773</v>
      </c>
      <c r="Q125" s="283">
        <f t="shared" si="54"/>
        <v>42864.169408475274</v>
      </c>
      <c r="R125" s="283">
        <f t="shared" si="54"/>
        <v>0</v>
      </c>
      <c r="S125" s="283">
        <f t="shared" si="54"/>
        <v>99114.651951834632</v>
      </c>
      <c r="T125" s="283">
        <f t="shared" si="54"/>
        <v>0</v>
      </c>
      <c r="U125" s="283">
        <f t="shared" si="54"/>
        <v>11.840749566560579</v>
      </c>
      <c r="V125" s="283">
        <f t="shared" si="54"/>
        <v>0</v>
      </c>
      <c r="W125" s="283">
        <f t="shared" si="54"/>
        <v>0</v>
      </c>
      <c r="X125" s="283">
        <f t="shared" si="54"/>
        <v>0</v>
      </c>
      <c r="Y125" s="283">
        <f t="shared" si="54"/>
        <v>19655.974024526568</v>
      </c>
      <c r="Z125" s="283">
        <f t="shared" si="39"/>
        <v>15811524.513149969</v>
      </c>
      <c r="AA125" s="283"/>
      <c r="AB125" s="283"/>
    </row>
    <row r="126" spans="4:29" ht="15.75" thickBot="1" x14ac:dyDescent="0.3">
      <c r="D126" s="281"/>
      <c r="E126" s="281"/>
      <c r="F126" s="254">
        <v>2021</v>
      </c>
      <c r="G126" s="283">
        <f t="shared" ref="G126:Y126" si="55">G84*$AF42</f>
        <v>505178.32310331886</v>
      </c>
      <c r="H126" s="283">
        <f t="shared" si="55"/>
        <v>227833.38380078008</v>
      </c>
      <c r="I126" s="283">
        <f t="shared" si="55"/>
        <v>122130.91301159044</v>
      </c>
      <c r="J126" s="283">
        <f t="shared" si="55"/>
        <v>246438.13620792574</v>
      </c>
      <c r="K126" s="283">
        <f t="shared" si="55"/>
        <v>0.47314163320981462</v>
      </c>
      <c r="L126" s="283">
        <f t="shared" si="55"/>
        <v>1801.9322589451706</v>
      </c>
      <c r="M126" s="283">
        <f t="shared" si="55"/>
        <v>0</v>
      </c>
      <c r="N126" s="283">
        <f t="shared" si="55"/>
        <v>3453840.2250265297</v>
      </c>
      <c r="O126" s="283">
        <f t="shared" si="55"/>
        <v>413.9958567103202</v>
      </c>
      <c r="P126" s="283">
        <f t="shared" si="55"/>
        <v>55468.98365077615</v>
      </c>
      <c r="Q126" s="283">
        <f t="shared" si="55"/>
        <v>0</v>
      </c>
      <c r="R126" s="283">
        <f t="shared" si="55"/>
        <v>0</v>
      </c>
      <c r="S126" s="283">
        <f t="shared" si="55"/>
        <v>17298.856920700397</v>
      </c>
      <c r="T126" s="283">
        <f t="shared" si="55"/>
        <v>0</v>
      </c>
      <c r="U126" s="283">
        <f t="shared" si="55"/>
        <v>0</v>
      </c>
      <c r="V126" s="283">
        <f t="shared" si="55"/>
        <v>0</v>
      </c>
      <c r="W126" s="283">
        <f t="shared" si="55"/>
        <v>0</v>
      </c>
      <c r="X126" s="283">
        <f t="shared" si="55"/>
        <v>0</v>
      </c>
      <c r="Y126" s="283">
        <f t="shared" si="55"/>
        <v>-8896.8472809080613</v>
      </c>
      <c r="Z126" s="283">
        <f t="shared" si="39"/>
        <v>4621508.375698003</v>
      </c>
      <c r="AA126" s="283"/>
      <c r="AB126" s="283"/>
    </row>
    <row r="127" spans="4:29" hidden="1" outlineLevel="1" x14ac:dyDescent="0.25">
      <c r="D127" s="281"/>
      <c r="E127" s="281"/>
      <c r="F127" s="281"/>
      <c r="G127" s="282">
        <f t="shared" ref="G127:X127" si="56">SUM(G110:G126)</f>
        <v>19561357.345435169</v>
      </c>
      <c r="H127" s="282">
        <f t="shared" ref="H127:I127" si="57">SUM(H110:H126)</f>
        <v>3500800.1704087546</v>
      </c>
      <c r="I127" s="282">
        <f t="shared" si="57"/>
        <v>2870388.3092049495</v>
      </c>
      <c r="J127" s="282">
        <f t="shared" si="56"/>
        <v>111701528.50700335</v>
      </c>
      <c r="K127" s="282">
        <f t="shared" si="56"/>
        <v>28452.10068055649</v>
      </c>
      <c r="L127" s="282">
        <f t="shared" si="56"/>
        <v>2115439.1370301028</v>
      </c>
      <c r="M127" s="282">
        <f t="shared" si="56"/>
        <v>12404383.685874581</v>
      </c>
      <c r="N127" s="282">
        <f t="shared" si="56"/>
        <v>147368297.76646322</v>
      </c>
      <c r="O127" s="282">
        <f t="shared" si="56"/>
        <v>1879649.5403985651</v>
      </c>
      <c r="P127" s="282">
        <f t="shared" si="56"/>
        <v>2188822.8806392583</v>
      </c>
      <c r="Q127" s="282">
        <f t="shared" si="56"/>
        <v>1066644.5700356243</v>
      </c>
      <c r="R127" s="282">
        <f t="shared" si="56"/>
        <v>0</v>
      </c>
      <c r="S127" s="282">
        <f t="shared" si="56"/>
        <v>1268020.4089065234</v>
      </c>
      <c r="T127" s="282">
        <f t="shared" si="56"/>
        <v>8013143.4698357098</v>
      </c>
      <c r="U127" s="282">
        <f t="shared" si="56"/>
        <v>513458.3090291277</v>
      </c>
      <c r="V127" s="282">
        <f t="shared" si="56"/>
        <v>260231.59493440003</v>
      </c>
      <c r="W127" s="282">
        <f t="shared" si="56"/>
        <v>309565.62651415</v>
      </c>
      <c r="X127" s="282">
        <f t="shared" si="56"/>
        <v>309370.90336789994</v>
      </c>
      <c r="Y127" s="282">
        <f t="shared" ref="Y127" si="58">SUM(Y110:Y126)</f>
        <v>605194.24735064525</v>
      </c>
      <c r="Z127" s="282">
        <f>SUM(Z110:Z126)</f>
        <v>315964748.57311261</v>
      </c>
      <c r="AA127" s="283">
        <f>SUM(G127:Y127)-Z127</f>
        <v>0</v>
      </c>
      <c r="AB127" s="283" t="s">
        <v>223</v>
      </c>
      <c r="AC127" s="96"/>
    </row>
    <row r="128" spans="4:29" ht="15.75" collapsed="1" thickBot="1" x14ac:dyDescent="0.3">
      <c r="D128" s="298" t="s">
        <v>227</v>
      </c>
      <c r="E128" s="281"/>
      <c r="F128" s="294" t="s">
        <v>224</v>
      </c>
      <c r="G128" s="284">
        <f t="shared" ref="G128:Y128" si="59">SUM(G117:G126)</f>
        <v>19561357.345435169</v>
      </c>
      <c r="H128" s="284">
        <f t="shared" ref="H128:I128" si="60">SUM(H117:H126)</f>
        <v>3500800.1704087546</v>
      </c>
      <c r="I128" s="284">
        <f t="shared" si="60"/>
        <v>2870388.3092049495</v>
      </c>
      <c r="J128" s="284">
        <f t="shared" si="59"/>
        <v>60562207.676738173</v>
      </c>
      <c r="K128" s="284">
        <f t="shared" si="59"/>
        <v>28452.10068055649</v>
      </c>
      <c r="L128" s="284">
        <f t="shared" si="59"/>
        <v>2115439.1370301028</v>
      </c>
      <c r="M128" s="284">
        <f t="shared" si="59"/>
        <v>4840313.3906360231</v>
      </c>
      <c r="N128" s="284">
        <f t="shared" si="59"/>
        <v>113566601.98243821</v>
      </c>
      <c r="O128" s="284">
        <f t="shared" si="59"/>
        <v>1787570.222823719</v>
      </c>
      <c r="P128" s="284">
        <f t="shared" si="59"/>
        <v>2188822.8806392583</v>
      </c>
      <c r="Q128" s="284">
        <f t="shared" si="59"/>
        <v>736370.55982656428</v>
      </c>
      <c r="R128" s="284">
        <f t="shared" si="59"/>
        <v>0</v>
      </c>
      <c r="S128" s="284">
        <f t="shared" si="59"/>
        <v>1268020.4089065234</v>
      </c>
      <c r="T128" s="284">
        <f t="shared" si="59"/>
        <v>0</v>
      </c>
      <c r="U128" s="284">
        <f t="shared" si="59"/>
        <v>9134.2322188376638</v>
      </c>
      <c r="V128" s="284">
        <f t="shared" si="59"/>
        <v>0</v>
      </c>
      <c r="W128" s="284">
        <f t="shared" si="59"/>
        <v>0</v>
      </c>
      <c r="X128" s="284">
        <f t="shared" si="59"/>
        <v>0</v>
      </c>
      <c r="Y128" s="284">
        <f t="shared" si="59"/>
        <v>605194.24735064525</v>
      </c>
      <c r="Z128" s="284">
        <f>SUM(G128:Y128)</f>
        <v>213640672.66433746</v>
      </c>
      <c r="AA128" s="283">
        <f>SUM(G117:Y126)-Z128</f>
        <v>0</v>
      </c>
      <c r="AB128" s="283" t="s">
        <v>223</v>
      </c>
    </row>
    <row r="129" spans="4:28" ht="15.75" thickBot="1" x14ac:dyDescent="0.3">
      <c r="D129" s="281"/>
      <c r="E129" s="281"/>
      <c r="F129" s="281"/>
    </row>
    <row r="130" spans="4:28" hidden="1" outlineLevel="1" x14ac:dyDescent="0.25">
      <c r="D130" s="281" t="s">
        <v>226</v>
      </c>
      <c r="E130" s="281"/>
      <c r="F130" s="254">
        <v>2005</v>
      </c>
      <c r="G130" s="283">
        <f t="shared" ref="G130:Y130" si="61">G68*$AG26</f>
        <v>0</v>
      </c>
      <c r="H130" s="283">
        <f t="shared" si="61"/>
        <v>0</v>
      </c>
      <c r="I130" s="283">
        <f t="shared" si="61"/>
        <v>0</v>
      </c>
      <c r="J130" s="283">
        <f t="shared" si="61"/>
        <v>2311082.25348</v>
      </c>
      <c r="K130" s="283">
        <f t="shared" si="61"/>
        <v>0</v>
      </c>
      <c r="L130" s="283">
        <f t="shared" si="61"/>
        <v>0</v>
      </c>
      <c r="M130" s="283">
        <f t="shared" si="61"/>
        <v>633590.23454999994</v>
      </c>
      <c r="N130" s="283">
        <f t="shared" si="61"/>
        <v>1427032.8272199999</v>
      </c>
      <c r="O130" s="283">
        <f t="shared" si="61"/>
        <v>72.472399999999993</v>
      </c>
      <c r="P130" s="283">
        <f t="shared" si="61"/>
        <v>0</v>
      </c>
      <c r="Q130" s="283">
        <f t="shared" si="61"/>
        <v>260.77869999999996</v>
      </c>
      <c r="R130" s="283">
        <f t="shared" si="61"/>
        <v>0</v>
      </c>
      <c r="S130" s="283">
        <f t="shared" si="61"/>
        <v>0</v>
      </c>
      <c r="T130" s="283">
        <f t="shared" si="61"/>
        <v>1113600.7810199999</v>
      </c>
      <c r="U130" s="283">
        <f t="shared" si="61"/>
        <v>19409.531049999998</v>
      </c>
      <c r="V130" s="283">
        <f t="shared" si="61"/>
        <v>46202.033150000003</v>
      </c>
      <c r="W130" s="283">
        <f t="shared" si="61"/>
        <v>52801.279439999998</v>
      </c>
      <c r="X130" s="283">
        <f t="shared" si="61"/>
        <v>58275.340759999999</v>
      </c>
      <c r="Y130" s="283">
        <f t="shared" si="61"/>
        <v>0</v>
      </c>
      <c r="Z130" s="283">
        <f t="shared" ref="Z130:Z146" si="62">SUM(G130:Y130)</f>
        <v>5662327.5317699993</v>
      </c>
      <c r="AA130" s="283"/>
      <c r="AB130" s="283"/>
    </row>
    <row r="131" spans="4:28" hidden="1" outlineLevel="1" x14ac:dyDescent="0.25">
      <c r="D131" s="281"/>
      <c r="E131" s="281"/>
      <c r="F131" s="254">
        <v>2006</v>
      </c>
      <c r="G131" s="283">
        <f t="shared" ref="G131:Y131" si="63">G69*$AG27</f>
        <v>0</v>
      </c>
      <c r="H131" s="283">
        <f t="shared" si="63"/>
        <v>0</v>
      </c>
      <c r="I131" s="283">
        <f t="shared" si="63"/>
        <v>0</v>
      </c>
      <c r="J131" s="283">
        <f t="shared" si="63"/>
        <v>2434008.6252299999</v>
      </c>
      <c r="K131" s="283">
        <f t="shared" si="63"/>
        <v>0</v>
      </c>
      <c r="L131" s="283">
        <f t="shared" si="63"/>
        <v>0</v>
      </c>
      <c r="M131" s="283">
        <f t="shared" si="63"/>
        <v>643977.71074000001</v>
      </c>
      <c r="N131" s="283">
        <f t="shared" si="63"/>
        <v>1742962.0799499999</v>
      </c>
      <c r="O131" s="283">
        <f t="shared" si="63"/>
        <v>159.54666</v>
      </c>
      <c r="P131" s="283">
        <f t="shared" si="63"/>
        <v>0</v>
      </c>
      <c r="Q131" s="283">
        <f t="shared" si="63"/>
        <v>8.9880699999999987</v>
      </c>
      <c r="R131" s="283">
        <f t="shared" si="63"/>
        <v>0</v>
      </c>
      <c r="S131" s="283">
        <f t="shared" si="63"/>
        <v>0</v>
      </c>
      <c r="T131" s="283">
        <f t="shared" si="63"/>
        <v>1116240.34613</v>
      </c>
      <c r="U131" s="283">
        <f t="shared" si="63"/>
        <v>25994.506719999998</v>
      </c>
      <c r="V131" s="283">
        <f t="shared" si="63"/>
        <v>38127.543089999999</v>
      </c>
      <c r="W131" s="283">
        <f t="shared" si="63"/>
        <v>55200.124069999998</v>
      </c>
      <c r="X131" s="283">
        <f t="shared" si="63"/>
        <v>53420.411589999996</v>
      </c>
      <c r="Y131" s="283">
        <f t="shared" si="63"/>
        <v>0</v>
      </c>
      <c r="Z131" s="283">
        <f t="shared" si="62"/>
        <v>6110099.8822499989</v>
      </c>
      <c r="AA131" s="283"/>
      <c r="AB131" s="283"/>
    </row>
    <row r="132" spans="4:28" hidden="1" outlineLevel="1" x14ac:dyDescent="0.25">
      <c r="D132" s="281"/>
      <c r="E132" s="281"/>
      <c r="F132" s="254">
        <v>2007</v>
      </c>
      <c r="G132" s="283">
        <f t="shared" ref="G132:Y132" si="64">G70*$AG28</f>
        <v>0</v>
      </c>
      <c r="H132" s="283">
        <f t="shared" si="64"/>
        <v>0</v>
      </c>
      <c r="I132" s="283">
        <f t="shared" si="64"/>
        <v>0</v>
      </c>
      <c r="J132" s="283">
        <f t="shared" si="64"/>
        <v>3231396.2080399995</v>
      </c>
      <c r="K132" s="283">
        <f t="shared" si="64"/>
        <v>0</v>
      </c>
      <c r="L132" s="283">
        <f t="shared" si="64"/>
        <v>0</v>
      </c>
      <c r="M132" s="283">
        <f t="shared" si="64"/>
        <v>601510.86904999998</v>
      </c>
      <c r="N132" s="283">
        <f t="shared" si="64"/>
        <v>2042265.77373</v>
      </c>
      <c r="O132" s="283">
        <f t="shared" si="64"/>
        <v>15582.78995</v>
      </c>
      <c r="P132" s="283">
        <f t="shared" si="64"/>
        <v>0</v>
      </c>
      <c r="Q132" s="283">
        <f t="shared" si="64"/>
        <v>2.3951199999999999</v>
      </c>
      <c r="R132" s="283">
        <f t="shared" si="64"/>
        <v>0</v>
      </c>
      <c r="S132" s="283">
        <f t="shared" si="64"/>
        <v>0</v>
      </c>
      <c r="T132" s="283">
        <f t="shared" si="64"/>
        <v>553132.54360000009</v>
      </c>
      <c r="U132" s="283">
        <f t="shared" si="64"/>
        <v>30862.621790000001</v>
      </c>
      <c r="V132" s="283">
        <f t="shared" si="64"/>
        <v>24621.562419999998</v>
      </c>
      <c r="W132" s="283">
        <f t="shared" si="64"/>
        <v>21604.411919999999</v>
      </c>
      <c r="X132" s="283">
        <f t="shared" si="64"/>
        <v>16529.809659999999</v>
      </c>
      <c r="Y132" s="283">
        <f t="shared" si="64"/>
        <v>0</v>
      </c>
      <c r="Z132" s="283">
        <f t="shared" si="62"/>
        <v>6537508.9852799997</v>
      </c>
      <c r="AA132" s="283"/>
      <c r="AB132" s="283"/>
    </row>
    <row r="133" spans="4:28" hidden="1" outlineLevel="1" x14ac:dyDescent="0.25">
      <c r="D133" s="281"/>
      <c r="E133" s="281"/>
      <c r="F133" s="254">
        <v>2008</v>
      </c>
      <c r="G133" s="283">
        <f t="shared" ref="G133:Y133" si="65">G71*$AG29</f>
        <v>0</v>
      </c>
      <c r="H133" s="283">
        <f t="shared" si="65"/>
        <v>0</v>
      </c>
      <c r="I133" s="283">
        <f t="shared" si="65"/>
        <v>0</v>
      </c>
      <c r="J133" s="283">
        <f t="shared" si="65"/>
        <v>3511661.1202400001</v>
      </c>
      <c r="K133" s="283">
        <f t="shared" si="65"/>
        <v>0</v>
      </c>
      <c r="L133" s="283">
        <f t="shared" si="65"/>
        <v>0</v>
      </c>
      <c r="M133" s="283">
        <f t="shared" si="65"/>
        <v>629607.85705999995</v>
      </c>
      <c r="N133" s="283">
        <f t="shared" si="65"/>
        <v>1915204.3146600001</v>
      </c>
      <c r="O133" s="283">
        <f t="shared" si="65"/>
        <v>92.612520000000004</v>
      </c>
      <c r="P133" s="283">
        <f t="shared" si="65"/>
        <v>0</v>
      </c>
      <c r="Q133" s="283">
        <f t="shared" si="65"/>
        <v>2.18946</v>
      </c>
      <c r="R133" s="283">
        <f t="shared" si="65"/>
        <v>0</v>
      </c>
      <c r="S133" s="283">
        <f t="shared" si="65"/>
        <v>0</v>
      </c>
      <c r="T133" s="283">
        <f t="shared" si="65"/>
        <v>157176.93446000022</v>
      </c>
      <c r="U133" s="283">
        <f t="shared" si="65"/>
        <v>33902.704290000001</v>
      </c>
      <c r="V133" s="283">
        <f t="shared" si="65"/>
        <v>1.82E-3</v>
      </c>
      <c r="W133" s="283">
        <f t="shared" si="65"/>
        <v>0</v>
      </c>
      <c r="X133" s="283">
        <f t="shared" si="65"/>
        <v>629.08390999999995</v>
      </c>
      <c r="Y133" s="283">
        <f t="shared" si="65"/>
        <v>0</v>
      </c>
      <c r="Z133" s="283">
        <f t="shared" si="62"/>
        <v>6248276.8184199994</v>
      </c>
      <c r="AA133" s="283"/>
      <c r="AB133" s="283"/>
    </row>
    <row r="134" spans="4:28" hidden="1" outlineLevel="1" x14ac:dyDescent="0.25">
      <c r="D134" s="281"/>
      <c r="E134" s="281"/>
      <c r="F134" s="254">
        <v>2009</v>
      </c>
      <c r="G134" s="283">
        <f t="shared" ref="G134:Y134" si="66">G72*$AG30</f>
        <v>0</v>
      </c>
      <c r="H134" s="283">
        <f t="shared" si="66"/>
        <v>0</v>
      </c>
      <c r="I134" s="283">
        <f t="shared" si="66"/>
        <v>0</v>
      </c>
      <c r="J134" s="283">
        <f t="shared" si="66"/>
        <v>3392977.3240999999</v>
      </c>
      <c r="K134" s="283">
        <f t="shared" si="66"/>
        <v>0</v>
      </c>
      <c r="L134" s="283">
        <f t="shared" si="66"/>
        <v>0</v>
      </c>
      <c r="M134" s="283">
        <f t="shared" si="66"/>
        <v>335200.64122999995</v>
      </c>
      <c r="N134" s="283">
        <f t="shared" si="66"/>
        <v>2041661.8131000001</v>
      </c>
      <c r="O134" s="283">
        <f t="shared" si="66"/>
        <v>204.93745999999999</v>
      </c>
      <c r="P134" s="283">
        <f t="shared" si="66"/>
        <v>0</v>
      </c>
      <c r="Q134" s="283">
        <f t="shared" si="66"/>
        <v>1.05287</v>
      </c>
      <c r="R134" s="283">
        <f t="shared" si="66"/>
        <v>0</v>
      </c>
      <c r="S134" s="283">
        <f t="shared" si="66"/>
        <v>0</v>
      </c>
      <c r="T134" s="283">
        <f t="shared" si="66"/>
        <v>143848.31642999969</v>
      </c>
      <c r="U134" s="283">
        <f t="shared" si="66"/>
        <v>35750.381939999999</v>
      </c>
      <c r="V134" s="283">
        <f t="shared" si="66"/>
        <v>0</v>
      </c>
      <c r="W134" s="283">
        <f t="shared" si="66"/>
        <v>0</v>
      </c>
      <c r="X134" s="283">
        <f t="shared" si="66"/>
        <v>362.03895</v>
      </c>
      <c r="Y134" s="283">
        <f t="shared" si="66"/>
        <v>0</v>
      </c>
      <c r="Z134" s="283">
        <f t="shared" si="62"/>
        <v>5950006.5060799988</v>
      </c>
      <c r="AA134" s="283"/>
      <c r="AB134" s="283"/>
    </row>
    <row r="135" spans="4:28" hidden="1" outlineLevel="1" x14ac:dyDescent="0.25">
      <c r="D135" s="281"/>
      <c r="E135" s="281"/>
      <c r="F135" s="254">
        <v>2010</v>
      </c>
      <c r="G135" s="283">
        <f t="shared" ref="G135:Y135" si="67">G73*$AG31</f>
        <v>0</v>
      </c>
      <c r="H135" s="283">
        <f t="shared" si="67"/>
        <v>0</v>
      </c>
      <c r="I135" s="283">
        <f t="shared" si="67"/>
        <v>0</v>
      </c>
      <c r="J135" s="283">
        <f t="shared" si="67"/>
        <v>3206774.3771699998</v>
      </c>
      <c r="K135" s="283">
        <f t="shared" si="67"/>
        <v>0</v>
      </c>
      <c r="L135" s="283">
        <f t="shared" si="67"/>
        <v>0</v>
      </c>
      <c r="M135" s="283">
        <f t="shared" si="67"/>
        <v>188800.30168999999</v>
      </c>
      <c r="N135" s="283">
        <f t="shared" si="67"/>
        <v>2143752.5846100003</v>
      </c>
      <c r="O135" s="283">
        <f t="shared" si="67"/>
        <v>139.44111999999998</v>
      </c>
      <c r="P135" s="283">
        <f t="shared" si="67"/>
        <v>0</v>
      </c>
      <c r="Q135" s="283">
        <f t="shared" si="67"/>
        <v>19467.793799999999</v>
      </c>
      <c r="R135" s="283">
        <f t="shared" si="67"/>
        <v>0</v>
      </c>
      <c r="S135" s="283">
        <f t="shared" si="67"/>
        <v>0</v>
      </c>
      <c r="T135" s="283">
        <f t="shared" si="67"/>
        <v>138762.72592000043</v>
      </c>
      <c r="U135" s="283">
        <f t="shared" si="67"/>
        <v>28965.198079999998</v>
      </c>
      <c r="V135" s="283">
        <f t="shared" si="67"/>
        <v>0</v>
      </c>
      <c r="W135" s="283">
        <f t="shared" si="67"/>
        <v>0</v>
      </c>
      <c r="X135" s="283">
        <f t="shared" si="67"/>
        <v>301.52758999999998</v>
      </c>
      <c r="Y135" s="283">
        <f t="shared" si="67"/>
        <v>0</v>
      </c>
      <c r="Z135" s="283">
        <f t="shared" si="62"/>
        <v>5726963.9499799991</v>
      </c>
      <c r="AA135" s="283"/>
      <c r="AB135" s="283"/>
    </row>
    <row r="136" spans="4:28" hidden="1" outlineLevel="1" x14ac:dyDescent="0.25">
      <c r="D136" s="281"/>
      <c r="E136" s="281"/>
      <c r="F136" s="254">
        <v>2011</v>
      </c>
      <c r="G136" s="283">
        <f t="shared" ref="G136:Y136" si="68">G74*$AG32</f>
        <v>0</v>
      </c>
      <c r="H136" s="283">
        <f t="shared" si="68"/>
        <v>0</v>
      </c>
      <c r="I136" s="283">
        <f t="shared" si="68"/>
        <v>0</v>
      </c>
      <c r="J136" s="283">
        <f t="shared" si="68"/>
        <v>2885150.9486799999</v>
      </c>
      <c r="K136" s="283">
        <f t="shared" si="68"/>
        <v>0</v>
      </c>
      <c r="L136" s="283">
        <f t="shared" si="68"/>
        <v>0</v>
      </c>
      <c r="M136" s="283">
        <f t="shared" si="68"/>
        <v>116497.77138999999</v>
      </c>
      <c r="N136" s="283">
        <f t="shared" si="68"/>
        <v>2465114.9486600002</v>
      </c>
      <c r="O136" s="283">
        <f t="shared" si="68"/>
        <v>19363.205679999999</v>
      </c>
      <c r="P136" s="283">
        <f t="shared" si="68"/>
        <v>0</v>
      </c>
      <c r="Q136" s="283">
        <f t="shared" si="68"/>
        <v>102926.8968</v>
      </c>
      <c r="R136" s="283">
        <f t="shared" si="68"/>
        <v>0</v>
      </c>
      <c r="S136" s="283">
        <f t="shared" si="68"/>
        <v>0</v>
      </c>
      <c r="T136" s="283">
        <f t="shared" si="68"/>
        <v>114708.46113999991</v>
      </c>
      <c r="U136" s="283">
        <f t="shared" si="68"/>
        <v>31486.4277</v>
      </c>
      <c r="V136" s="283">
        <f t="shared" si="68"/>
        <v>0</v>
      </c>
      <c r="W136" s="283">
        <f t="shared" si="68"/>
        <v>0</v>
      </c>
      <c r="X136" s="283">
        <f t="shared" si="68"/>
        <v>5.2779999999999996</v>
      </c>
      <c r="Y136" s="283">
        <f t="shared" si="68"/>
        <v>0</v>
      </c>
      <c r="Z136" s="283">
        <f t="shared" si="62"/>
        <v>5735253.93805</v>
      </c>
      <c r="AA136" s="283"/>
      <c r="AB136" s="283"/>
    </row>
    <row r="137" spans="4:28" ht="15.75" collapsed="1" thickBot="1" x14ac:dyDescent="0.3">
      <c r="D137" s="298" t="s">
        <v>226</v>
      </c>
      <c r="E137" s="281"/>
      <c r="F137" s="254">
        <v>2012</v>
      </c>
      <c r="G137" s="283">
        <f t="shared" ref="G137:Y137" si="69">G75*$AG33</f>
        <v>0</v>
      </c>
      <c r="H137" s="283">
        <f t="shared" si="69"/>
        <v>0</v>
      </c>
      <c r="I137" s="283">
        <f t="shared" si="69"/>
        <v>0</v>
      </c>
      <c r="J137" s="283">
        <f t="shared" si="69"/>
        <v>2682673.9947917345</v>
      </c>
      <c r="K137" s="283">
        <f t="shared" si="69"/>
        <v>4342.9575232750476</v>
      </c>
      <c r="L137" s="283">
        <f t="shared" si="69"/>
        <v>100510.6000018942</v>
      </c>
      <c r="M137" s="283">
        <f t="shared" si="69"/>
        <v>106167.73269251204</v>
      </c>
      <c r="N137" s="283">
        <f t="shared" si="69"/>
        <v>2705423.6833400973</v>
      </c>
      <c r="O137" s="283">
        <f t="shared" si="69"/>
        <v>12952.656723070379</v>
      </c>
      <c r="P137" s="283">
        <f t="shared" si="69"/>
        <v>0</v>
      </c>
      <c r="Q137" s="283">
        <f t="shared" si="69"/>
        <v>0</v>
      </c>
      <c r="R137" s="283">
        <f t="shared" si="69"/>
        <v>0</v>
      </c>
      <c r="S137" s="283">
        <f t="shared" si="69"/>
        <v>0</v>
      </c>
      <c r="T137" s="283">
        <f t="shared" si="69"/>
        <v>0</v>
      </c>
      <c r="U137" s="283">
        <f t="shared" si="69"/>
        <v>3058.9184006104524</v>
      </c>
      <c r="V137" s="283">
        <f t="shared" si="69"/>
        <v>0</v>
      </c>
      <c r="W137" s="283">
        <f t="shared" si="69"/>
        <v>0</v>
      </c>
      <c r="X137" s="283">
        <f t="shared" si="69"/>
        <v>0</v>
      </c>
      <c r="Y137" s="283">
        <f t="shared" si="69"/>
        <v>8692.5033459128881</v>
      </c>
      <c r="Z137" s="283">
        <f t="shared" si="62"/>
        <v>5623823.0468191076</v>
      </c>
      <c r="AA137" s="283"/>
      <c r="AB137" s="283"/>
    </row>
    <row r="138" spans="4:28" x14ac:dyDescent="0.25">
      <c r="D138" s="281"/>
      <c r="E138" s="281"/>
      <c r="F138" s="254">
        <v>2013</v>
      </c>
      <c r="G138" s="283">
        <f t="shared" ref="G138:Y138" si="70">G76*$AG34</f>
        <v>569041.84316739254</v>
      </c>
      <c r="H138" s="283">
        <f t="shared" si="70"/>
        <v>0</v>
      </c>
      <c r="I138" s="283">
        <f t="shared" si="70"/>
        <v>3616.4915308842578</v>
      </c>
      <c r="J138" s="283">
        <f t="shared" si="70"/>
        <v>1891379.2568177625</v>
      </c>
      <c r="K138" s="283">
        <f t="shared" si="70"/>
        <v>6.1730436849111392</v>
      </c>
      <c r="L138" s="283">
        <f t="shared" si="70"/>
        <v>70334.117446489574</v>
      </c>
      <c r="M138" s="283">
        <f t="shared" si="70"/>
        <v>99052.965889508472</v>
      </c>
      <c r="N138" s="283">
        <f t="shared" si="70"/>
        <v>2639594.2242793785</v>
      </c>
      <c r="O138" s="283">
        <f t="shared" si="70"/>
        <v>17686.497076433312</v>
      </c>
      <c r="P138" s="283">
        <f t="shared" si="70"/>
        <v>0</v>
      </c>
      <c r="Q138" s="283">
        <f t="shared" si="70"/>
        <v>0</v>
      </c>
      <c r="R138" s="283">
        <f t="shared" si="70"/>
        <v>0</v>
      </c>
      <c r="S138" s="283">
        <f t="shared" si="70"/>
        <v>0</v>
      </c>
      <c r="T138" s="283">
        <f t="shared" si="70"/>
        <v>0</v>
      </c>
      <c r="U138" s="283">
        <f t="shared" si="70"/>
        <v>11.53916863767626</v>
      </c>
      <c r="V138" s="283">
        <f t="shared" si="70"/>
        <v>0</v>
      </c>
      <c r="W138" s="283">
        <f t="shared" si="70"/>
        <v>0</v>
      </c>
      <c r="X138" s="283">
        <f t="shared" si="70"/>
        <v>0</v>
      </c>
      <c r="Y138" s="283">
        <f t="shared" si="70"/>
        <v>3593.750988791408</v>
      </c>
      <c r="Z138" s="283">
        <f t="shared" si="62"/>
        <v>5294316.8594089625</v>
      </c>
      <c r="AA138" s="283"/>
      <c r="AB138" s="283"/>
    </row>
    <row r="139" spans="4:28" x14ac:dyDescent="0.25">
      <c r="D139" s="281"/>
      <c r="E139" s="281"/>
      <c r="F139" s="254">
        <v>2014</v>
      </c>
      <c r="G139" s="283">
        <f t="shared" ref="G139:Y139" si="71">G77*$AG35</f>
        <v>676530.08806815103</v>
      </c>
      <c r="H139" s="283">
        <f t="shared" si="71"/>
        <v>95563.237992817463</v>
      </c>
      <c r="I139" s="283">
        <f t="shared" si="71"/>
        <v>128442.98483840287</v>
      </c>
      <c r="J139" s="283">
        <f t="shared" si="71"/>
        <v>1989764.9224997815</v>
      </c>
      <c r="K139" s="283">
        <f t="shared" si="71"/>
        <v>2.0325998986990448</v>
      </c>
      <c r="L139" s="283">
        <f t="shared" si="71"/>
        <v>70946.596037100055</v>
      </c>
      <c r="M139" s="283">
        <f t="shared" si="71"/>
        <v>218654.39700259641</v>
      </c>
      <c r="N139" s="283">
        <f t="shared" si="71"/>
        <v>3482140.6926499549</v>
      </c>
      <c r="O139" s="283">
        <f t="shared" si="71"/>
        <v>6140.4080511962811</v>
      </c>
      <c r="P139" s="283">
        <f t="shared" si="71"/>
        <v>0</v>
      </c>
      <c r="Q139" s="283">
        <f t="shared" si="71"/>
        <v>0</v>
      </c>
      <c r="R139" s="283">
        <f t="shared" si="71"/>
        <v>0</v>
      </c>
      <c r="S139" s="283">
        <f t="shared" si="71"/>
        <v>6.0832000160585942</v>
      </c>
      <c r="T139" s="283">
        <f t="shared" si="71"/>
        <v>0</v>
      </c>
      <c r="U139" s="283">
        <f t="shared" si="71"/>
        <v>4.0554666773723964</v>
      </c>
      <c r="V139" s="283">
        <f t="shared" si="71"/>
        <v>0</v>
      </c>
      <c r="W139" s="283">
        <f t="shared" si="71"/>
        <v>0</v>
      </c>
      <c r="X139" s="283">
        <f t="shared" si="71"/>
        <v>0</v>
      </c>
      <c r="Y139" s="283">
        <f t="shared" si="71"/>
        <v>42638.31350575282</v>
      </c>
      <c r="Z139" s="283">
        <f t="shared" si="62"/>
        <v>6710833.8119123457</v>
      </c>
      <c r="AA139" s="283"/>
      <c r="AB139" s="283"/>
    </row>
    <row r="140" spans="4:28" x14ac:dyDescent="0.25">
      <c r="D140" s="281"/>
      <c r="E140" s="281"/>
      <c r="F140" s="254">
        <v>2015</v>
      </c>
      <c r="G140" s="283">
        <f t="shared" ref="G140:Y140" si="72">G78*$AG36</f>
        <v>667851.02010648896</v>
      </c>
      <c r="H140" s="283">
        <f t="shared" si="72"/>
        <v>158472.22945237593</v>
      </c>
      <c r="I140" s="283">
        <f t="shared" si="72"/>
        <v>131996.31567077752</v>
      </c>
      <c r="J140" s="283">
        <f t="shared" si="72"/>
        <v>1968300.6690074224</v>
      </c>
      <c r="K140" s="283">
        <f t="shared" si="72"/>
        <v>0.19388837408868184</v>
      </c>
      <c r="L140" s="283">
        <f t="shared" si="72"/>
        <v>64604.533108811593</v>
      </c>
      <c r="M140" s="283">
        <f t="shared" si="72"/>
        <v>211839.54745200006</v>
      </c>
      <c r="N140" s="283">
        <f t="shared" si="72"/>
        <v>3548810.9378149048</v>
      </c>
      <c r="O140" s="283">
        <f t="shared" si="72"/>
        <v>28589.056697800617</v>
      </c>
      <c r="P140" s="283">
        <f t="shared" si="72"/>
        <v>0</v>
      </c>
      <c r="Q140" s="283">
        <f t="shared" si="72"/>
        <v>0</v>
      </c>
      <c r="R140" s="283">
        <f t="shared" si="72"/>
        <v>0</v>
      </c>
      <c r="S140" s="283">
        <f t="shared" si="72"/>
        <v>83197.881494735921</v>
      </c>
      <c r="T140" s="283">
        <f t="shared" si="72"/>
        <v>0</v>
      </c>
      <c r="U140" s="283">
        <f t="shared" si="72"/>
        <v>3.8017328252682718</v>
      </c>
      <c r="V140" s="283">
        <f t="shared" si="72"/>
        <v>0</v>
      </c>
      <c r="W140" s="283">
        <f t="shared" si="72"/>
        <v>0</v>
      </c>
      <c r="X140" s="283">
        <f t="shared" si="72"/>
        <v>0</v>
      </c>
      <c r="Y140" s="283">
        <f t="shared" si="72"/>
        <v>24185.019663367377</v>
      </c>
      <c r="Z140" s="283">
        <f t="shared" si="62"/>
        <v>6887851.206089884</v>
      </c>
      <c r="AA140" s="283"/>
      <c r="AB140" s="283"/>
    </row>
    <row r="141" spans="4:28" x14ac:dyDescent="0.25">
      <c r="D141" s="281"/>
      <c r="E141" s="281"/>
      <c r="F141" s="254">
        <v>2016</v>
      </c>
      <c r="G141" s="283">
        <f t="shared" ref="G141:Y141" si="73">G79*$AG37</f>
        <v>912183.06310002506</v>
      </c>
      <c r="H141" s="283">
        <f t="shared" si="73"/>
        <v>221465.38656258126</v>
      </c>
      <c r="I141" s="283">
        <f t="shared" si="73"/>
        <v>161012.95052866914</v>
      </c>
      <c r="J141" s="283">
        <f t="shared" si="73"/>
        <v>2577870.5554523864</v>
      </c>
      <c r="K141" s="283">
        <f t="shared" si="73"/>
        <v>4.1021349061403627E-3</v>
      </c>
      <c r="L141" s="283">
        <f t="shared" si="73"/>
        <v>84056.150024321847</v>
      </c>
      <c r="M141" s="283">
        <f t="shared" si="73"/>
        <v>306188.45450120734</v>
      </c>
      <c r="N141" s="283">
        <f t="shared" si="73"/>
        <v>4717013.1924041007</v>
      </c>
      <c r="O141" s="283">
        <f t="shared" si="73"/>
        <v>150181.63557774824</v>
      </c>
      <c r="P141" s="283">
        <f t="shared" si="73"/>
        <v>0</v>
      </c>
      <c r="Q141" s="283">
        <f t="shared" si="73"/>
        <v>46705.852767109565</v>
      </c>
      <c r="R141" s="283">
        <f t="shared" si="73"/>
        <v>0</v>
      </c>
      <c r="S141" s="283">
        <f t="shared" si="73"/>
        <v>88512.27763665386</v>
      </c>
      <c r="T141" s="283">
        <f t="shared" si="73"/>
        <v>0</v>
      </c>
      <c r="U141" s="283">
        <f t="shared" si="73"/>
        <v>3.691921415526326</v>
      </c>
      <c r="V141" s="283">
        <f t="shared" si="73"/>
        <v>0</v>
      </c>
      <c r="W141" s="283">
        <f t="shared" si="73"/>
        <v>0</v>
      </c>
      <c r="X141" s="283">
        <f t="shared" si="73"/>
        <v>0</v>
      </c>
      <c r="Y141" s="283">
        <f t="shared" si="73"/>
        <v>45437.737204913967</v>
      </c>
      <c r="Z141" s="283">
        <f t="shared" si="62"/>
        <v>9310630.9517832659</v>
      </c>
      <c r="AA141" s="283"/>
      <c r="AB141" s="283"/>
    </row>
    <row r="142" spans="4:28" x14ac:dyDescent="0.25">
      <c r="D142" s="281"/>
      <c r="E142" s="281"/>
      <c r="F142" s="254">
        <v>2017</v>
      </c>
      <c r="G142" s="283">
        <f t="shared" ref="G142:Y142" si="74">G80*$AG38</f>
        <v>767728.72719914652</v>
      </c>
      <c r="H142" s="283">
        <f t="shared" si="74"/>
        <v>128442.76578024855</v>
      </c>
      <c r="I142" s="283">
        <f t="shared" si="74"/>
        <v>142119.0039685427</v>
      </c>
      <c r="J142" s="283">
        <f t="shared" si="74"/>
        <v>2114699.311062404</v>
      </c>
      <c r="K142" s="283">
        <f t="shared" si="74"/>
        <v>6.4772177730035765E-3</v>
      </c>
      <c r="L142" s="283">
        <f t="shared" si="74"/>
        <v>76038.627191477557</v>
      </c>
      <c r="M142" s="283">
        <f t="shared" si="74"/>
        <v>236228.49690090257</v>
      </c>
      <c r="N142" s="283">
        <f t="shared" si="74"/>
        <v>4836219.9744861294</v>
      </c>
      <c r="O142" s="283">
        <f t="shared" si="74"/>
        <v>139228.6445462401</v>
      </c>
      <c r="P142" s="283">
        <f t="shared" si="74"/>
        <v>25193.887109408603</v>
      </c>
      <c r="Q142" s="283">
        <f t="shared" si="74"/>
        <v>94362.645735849466</v>
      </c>
      <c r="R142" s="283">
        <f t="shared" si="74"/>
        <v>0</v>
      </c>
      <c r="S142" s="283">
        <f t="shared" si="74"/>
        <v>72921.905663711324</v>
      </c>
      <c r="T142" s="283">
        <f t="shared" si="74"/>
        <v>0</v>
      </c>
      <c r="U142" s="283">
        <f t="shared" si="74"/>
        <v>0</v>
      </c>
      <c r="V142" s="283">
        <f t="shared" si="74"/>
        <v>0</v>
      </c>
      <c r="W142" s="283">
        <f t="shared" si="74"/>
        <v>0</v>
      </c>
      <c r="X142" s="283">
        <f t="shared" si="74"/>
        <v>0</v>
      </c>
      <c r="Y142" s="283">
        <f t="shared" si="74"/>
        <v>27036.189548700971</v>
      </c>
      <c r="Z142" s="283">
        <f t="shared" si="62"/>
        <v>8660220.1856699791</v>
      </c>
      <c r="AA142" s="283"/>
      <c r="AB142" s="283"/>
    </row>
    <row r="143" spans="4:28" x14ac:dyDescent="0.25">
      <c r="D143" s="281"/>
      <c r="E143" s="281"/>
      <c r="F143" s="254">
        <v>2018</v>
      </c>
      <c r="G143" s="283">
        <f t="shared" ref="G143:Y143" si="75">G81*$AG39</f>
        <v>834256.96353052033</v>
      </c>
      <c r="H143" s="283">
        <f t="shared" si="75"/>
        <v>177290.11110029166</v>
      </c>
      <c r="I143" s="283">
        <f t="shared" si="75"/>
        <v>102410.48441987636</v>
      </c>
      <c r="J143" s="283">
        <f t="shared" si="75"/>
        <v>2145079.507490397</v>
      </c>
      <c r="K143" s="283">
        <f t="shared" si="75"/>
        <v>3.7886516683066636E-3</v>
      </c>
      <c r="L143" s="283">
        <f t="shared" si="75"/>
        <v>71938.364734663352</v>
      </c>
      <c r="M143" s="283">
        <f t="shared" si="75"/>
        <v>135206.08566831844</v>
      </c>
      <c r="N143" s="283">
        <f t="shared" si="75"/>
        <v>4918588.7868224271</v>
      </c>
      <c r="O143" s="283">
        <f t="shared" si="75"/>
        <v>111435.05079945699</v>
      </c>
      <c r="P143" s="283">
        <f t="shared" si="75"/>
        <v>259311.21262549367</v>
      </c>
      <c r="Q143" s="283">
        <f t="shared" si="75"/>
        <v>59017.982780012164</v>
      </c>
      <c r="R143" s="283">
        <f t="shared" si="75"/>
        <v>0</v>
      </c>
      <c r="S143" s="283">
        <f t="shared" si="75"/>
        <v>61738.446842349775</v>
      </c>
      <c r="T143" s="283">
        <f t="shared" si="75"/>
        <v>0</v>
      </c>
      <c r="U143" s="283">
        <f t="shared" si="75"/>
        <v>4.7358145853833289</v>
      </c>
      <c r="V143" s="283">
        <f t="shared" si="75"/>
        <v>0</v>
      </c>
      <c r="W143" s="283">
        <f t="shared" si="75"/>
        <v>0</v>
      </c>
      <c r="X143" s="283">
        <f t="shared" si="75"/>
        <v>0</v>
      </c>
      <c r="Y143" s="283">
        <f t="shared" si="75"/>
        <v>24179.35531972265</v>
      </c>
      <c r="Z143" s="283">
        <f t="shared" si="62"/>
        <v>8900457.0917367693</v>
      </c>
      <c r="AA143" s="283"/>
      <c r="AB143" s="283"/>
    </row>
    <row r="144" spans="4:28" x14ac:dyDescent="0.25">
      <c r="D144" s="281"/>
      <c r="E144" s="281"/>
      <c r="F144" s="254">
        <v>2019</v>
      </c>
      <c r="G144" s="283">
        <f t="shared" ref="G144:Y144" si="76">G82*$AG40</f>
        <v>834257.90554136818</v>
      </c>
      <c r="H144" s="283">
        <f t="shared" si="76"/>
        <v>137898.61112140777</v>
      </c>
      <c r="I144" s="283">
        <f t="shared" si="76"/>
        <v>115499.23679288429</v>
      </c>
      <c r="J144" s="283">
        <f t="shared" si="76"/>
        <v>1922537.9863873471</v>
      </c>
      <c r="K144" s="283">
        <f t="shared" si="76"/>
        <v>4944.3806955411719</v>
      </c>
      <c r="L144" s="283">
        <f t="shared" si="76"/>
        <v>66582.967328546336</v>
      </c>
      <c r="M144" s="283">
        <f t="shared" si="76"/>
        <v>95694.822972788112</v>
      </c>
      <c r="N144" s="283">
        <f t="shared" si="76"/>
        <v>4050935.40111853</v>
      </c>
      <c r="O144" s="283">
        <f t="shared" si="76"/>
        <v>35564.040315467355</v>
      </c>
      <c r="P144" s="283">
        <f t="shared" si="76"/>
        <v>247528.41602394875</v>
      </c>
      <c r="Q144" s="283">
        <f t="shared" si="76"/>
        <v>23639.622082553411</v>
      </c>
      <c r="R144" s="283">
        <f t="shared" si="76"/>
        <v>0</v>
      </c>
      <c r="S144" s="283">
        <f t="shared" si="76"/>
        <v>46670.835494491694</v>
      </c>
      <c r="T144" s="283">
        <f t="shared" si="76"/>
        <v>0</v>
      </c>
      <c r="U144" s="283">
        <f t="shared" si="76"/>
        <v>0</v>
      </c>
      <c r="V144" s="283">
        <f t="shared" si="76"/>
        <v>0</v>
      </c>
      <c r="W144" s="283">
        <f t="shared" si="76"/>
        <v>0</v>
      </c>
      <c r="X144" s="283">
        <f t="shared" si="76"/>
        <v>0</v>
      </c>
      <c r="Y144" s="283">
        <f t="shared" si="76"/>
        <v>5461.3443730160734</v>
      </c>
      <c r="Z144" s="283">
        <f t="shared" si="62"/>
        <v>7587215.5702478904</v>
      </c>
      <c r="AA144" s="283"/>
      <c r="AB144" s="283"/>
    </row>
    <row r="145" spans="4:28" x14ac:dyDescent="0.25">
      <c r="D145" s="281"/>
      <c r="E145" s="281"/>
      <c r="F145" s="254">
        <v>2020</v>
      </c>
      <c r="G145" s="283">
        <f t="shared" ref="G145:Y145" si="77">G83*$AG41</f>
        <v>0</v>
      </c>
      <c r="H145" s="283">
        <f t="shared" si="77"/>
        <v>0</v>
      </c>
      <c r="I145" s="283">
        <f t="shared" si="77"/>
        <v>0</v>
      </c>
      <c r="J145" s="283">
        <f t="shared" si="77"/>
        <v>0</v>
      </c>
      <c r="K145" s="283">
        <f t="shared" si="77"/>
        <v>0</v>
      </c>
      <c r="L145" s="283">
        <f t="shared" si="77"/>
        <v>0</v>
      </c>
      <c r="M145" s="283">
        <f t="shared" si="77"/>
        <v>0</v>
      </c>
      <c r="N145" s="283">
        <f t="shared" si="77"/>
        <v>0</v>
      </c>
      <c r="O145" s="283">
        <f t="shared" si="77"/>
        <v>0</v>
      </c>
      <c r="P145" s="283">
        <f t="shared" si="77"/>
        <v>0</v>
      </c>
      <c r="Q145" s="283">
        <f t="shared" si="77"/>
        <v>0</v>
      </c>
      <c r="R145" s="283">
        <f t="shared" si="77"/>
        <v>0</v>
      </c>
      <c r="S145" s="283">
        <f t="shared" si="77"/>
        <v>0</v>
      </c>
      <c r="T145" s="283">
        <f t="shared" si="77"/>
        <v>0</v>
      </c>
      <c r="U145" s="283">
        <f t="shared" si="77"/>
        <v>0</v>
      </c>
      <c r="V145" s="283">
        <f t="shared" si="77"/>
        <v>0</v>
      </c>
      <c r="W145" s="283">
        <f t="shared" si="77"/>
        <v>0</v>
      </c>
      <c r="X145" s="283">
        <f t="shared" si="77"/>
        <v>0</v>
      </c>
      <c r="Y145" s="283">
        <f t="shared" si="77"/>
        <v>0</v>
      </c>
      <c r="Z145" s="283">
        <f t="shared" si="62"/>
        <v>0</v>
      </c>
      <c r="AA145" s="283"/>
      <c r="AB145" s="283"/>
    </row>
    <row r="146" spans="4:28" ht="15.75" thickBot="1" x14ac:dyDescent="0.3">
      <c r="D146" s="281"/>
      <c r="E146" s="281"/>
      <c r="F146" s="254">
        <v>2021</v>
      </c>
      <c r="G146" s="283">
        <f t="shared" ref="G146:Y146" si="78">G84*$AG42</f>
        <v>0</v>
      </c>
      <c r="H146" s="283">
        <f t="shared" si="78"/>
        <v>0</v>
      </c>
      <c r="I146" s="283">
        <f t="shared" si="78"/>
        <v>0</v>
      </c>
      <c r="J146" s="283">
        <f t="shared" si="78"/>
        <v>0</v>
      </c>
      <c r="K146" s="283">
        <f t="shared" si="78"/>
        <v>0</v>
      </c>
      <c r="L146" s="283">
        <f t="shared" si="78"/>
        <v>0</v>
      </c>
      <c r="M146" s="283">
        <f t="shared" si="78"/>
        <v>0</v>
      </c>
      <c r="N146" s="283">
        <f t="shared" si="78"/>
        <v>0</v>
      </c>
      <c r="O146" s="283">
        <f t="shared" si="78"/>
        <v>0</v>
      </c>
      <c r="P146" s="283">
        <f t="shared" si="78"/>
        <v>0</v>
      </c>
      <c r="Q146" s="283">
        <f t="shared" si="78"/>
        <v>0</v>
      </c>
      <c r="R146" s="283">
        <f t="shared" si="78"/>
        <v>0</v>
      </c>
      <c r="S146" s="283">
        <f t="shared" si="78"/>
        <v>0</v>
      </c>
      <c r="T146" s="283">
        <f t="shared" si="78"/>
        <v>0</v>
      </c>
      <c r="U146" s="283">
        <f t="shared" si="78"/>
        <v>0</v>
      </c>
      <c r="V146" s="283">
        <f t="shared" si="78"/>
        <v>0</v>
      </c>
      <c r="W146" s="283">
        <f t="shared" si="78"/>
        <v>0</v>
      </c>
      <c r="X146" s="283">
        <f t="shared" si="78"/>
        <v>0</v>
      </c>
      <c r="Y146" s="283">
        <f t="shared" si="78"/>
        <v>0</v>
      </c>
      <c r="Z146" s="283">
        <f t="shared" si="62"/>
        <v>0</v>
      </c>
      <c r="AA146" s="283"/>
      <c r="AB146" s="283"/>
    </row>
    <row r="147" spans="4:28" hidden="1" outlineLevel="1" x14ac:dyDescent="0.25">
      <c r="D147" s="281"/>
      <c r="E147" s="281"/>
      <c r="F147" s="281"/>
      <c r="G147" s="282">
        <f t="shared" ref="G147:X147" si="79">SUM(G130:G146)</f>
        <v>5261849.6107130917</v>
      </c>
      <c r="H147" s="282">
        <f t="shared" ref="H147:I147" si="80">SUM(H130:H146)</f>
        <v>919132.34200972249</v>
      </c>
      <c r="I147" s="282">
        <f t="shared" si="80"/>
        <v>785097.46775003709</v>
      </c>
      <c r="J147" s="282">
        <f t="shared" si="79"/>
        <v>38265357.060449235</v>
      </c>
      <c r="K147" s="282">
        <f t="shared" si="79"/>
        <v>9295.7521187782659</v>
      </c>
      <c r="L147" s="282">
        <f t="shared" si="79"/>
        <v>605011.95587330451</v>
      </c>
      <c r="M147" s="282">
        <f t="shared" si="79"/>
        <v>4558217.8887898335</v>
      </c>
      <c r="N147" s="282">
        <f t="shared" si="79"/>
        <v>44676721.234845519</v>
      </c>
      <c r="O147" s="282">
        <f t="shared" si="79"/>
        <v>537392.99557741336</v>
      </c>
      <c r="P147" s="282">
        <f t="shared" si="79"/>
        <v>532033.51575885108</v>
      </c>
      <c r="Q147" s="282">
        <f t="shared" si="79"/>
        <v>346396.19818552461</v>
      </c>
      <c r="R147" s="282">
        <f t="shared" si="79"/>
        <v>0</v>
      </c>
      <c r="S147" s="282">
        <f t="shared" si="79"/>
        <v>353047.43033195863</v>
      </c>
      <c r="T147" s="282">
        <f t="shared" si="79"/>
        <v>3337470.1087000002</v>
      </c>
      <c r="U147" s="282">
        <f t="shared" si="79"/>
        <v>209458.11407475168</v>
      </c>
      <c r="V147" s="282">
        <f t="shared" si="79"/>
        <v>108951.14048</v>
      </c>
      <c r="W147" s="282">
        <f t="shared" si="79"/>
        <v>129605.81543</v>
      </c>
      <c r="X147" s="282">
        <f t="shared" si="79"/>
        <v>129523.49046</v>
      </c>
      <c r="Y147" s="282">
        <f t="shared" ref="Y147" si="81">SUM(Y130:Y146)</f>
        <v>181224.21395017815</v>
      </c>
      <c r="Z147" s="282">
        <f>SUM(Z130:Z146)</f>
        <v>100945786.33549818</v>
      </c>
      <c r="AA147" s="283">
        <f>SUM(G147:Y147)-Z147</f>
        <v>0</v>
      </c>
      <c r="AB147" s="283" t="s">
        <v>223</v>
      </c>
    </row>
    <row r="148" spans="4:28" ht="15.75" collapsed="1" thickBot="1" x14ac:dyDescent="0.3">
      <c r="D148" s="298" t="s">
        <v>226</v>
      </c>
      <c r="E148" s="281"/>
      <c r="F148" s="294" t="s">
        <v>224</v>
      </c>
      <c r="G148" s="284">
        <f t="shared" ref="G148:X148" si="82">SUM(G137:G146)</f>
        <v>5261849.6107130917</v>
      </c>
      <c r="H148" s="284">
        <f t="shared" ref="H148:I148" si="83">SUM(H137:H146)</f>
        <v>919132.34200972249</v>
      </c>
      <c r="I148" s="284">
        <f t="shared" si="83"/>
        <v>785097.46775003709</v>
      </c>
      <c r="J148" s="284">
        <f t="shared" si="82"/>
        <v>17292306.203509234</v>
      </c>
      <c r="K148" s="284">
        <f t="shared" si="82"/>
        <v>9295.7521187782659</v>
      </c>
      <c r="L148" s="284">
        <f t="shared" si="82"/>
        <v>605011.95587330451</v>
      </c>
      <c r="M148" s="284">
        <f t="shared" si="82"/>
        <v>1409032.5030798332</v>
      </c>
      <c r="N148" s="284">
        <f t="shared" si="82"/>
        <v>30898726.892915517</v>
      </c>
      <c r="O148" s="284">
        <f t="shared" si="82"/>
        <v>501777.98978741327</v>
      </c>
      <c r="P148" s="284">
        <f t="shared" si="82"/>
        <v>532033.51575885108</v>
      </c>
      <c r="Q148" s="284">
        <f t="shared" si="82"/>
        <v>223726.10336552461</v>
      </c>
      <c r="R148" s="284">
        <f t="shared" si="82"/>
        <v>0</v>
      </c>
      <c r="S148" s="284">
        <f t="shared" si="82"/>
        <v>353047.43033195863</v>
      </c>
      <c r="T148" s="284">
        <f t="shared" si="82"/>
        <v>0</v>
      </c>
      <c r="U148" s="284">
        <f t="shared" si="82"/>
        <v>3086.7425047516786</v>
      </c>
      <c r="V148" s="284">
        <f t="shared" si="82"/>
        <v>0</v>
      </c>
      <c r="W148" s="284">
        <f t="shared" si="82"/>
        <v>0</v>
      </c>
      <c r="X148" s="284">
        <f t="shared" si="82"/>
        <v>0</v>
      </c>
      <c r="Y148" s="284">
        <f t="shared" ref="Y148" si="84">SUM(Y137:Y146)</f>
        <v>181224.21395017815</v>
      </c>
      <c r="Z148" s="284">
        <f>SUM(G148:Y148)</f>
        <v>58975348.723668195</v>
      </c>
      <c r="AA148" s="283">
        <f>SUM(G137:Y146)-Z148</f>
        <v>0</v>
      </c>
      <c r="AB148" s="283" t="s">
        <v>223</v>
      </c>
    </row>
    <row r="149" spans="4:28" ht="15.75" thickBot="1" x14ac:dyDescent="0.3">
      <c r="D149" s="281"/>
      <c r="E149" s="281"/>
      <c r="F149" s="281"/>
    </row>
    <row r="150" spans="4:28" hidden="1" outlineLevel="1" x14ac:dyDescent="0.25">
      <c r="D150" s="281" t="s">
        <v>225</v>
      </c>
      <c r="E150" s="281"/>
      <c r="F150" s="254">
        <v>2005</v>
      </c>
      <c r="G150" s="283">
        <f t="shared" ref="G150:X165" si="85">G110+G130</f>
        <v>0</v>
      </c>
      <c r="H150" s="283">
        <f t="shared" ref="H150:I165" si="86">H110+H130</f>
        <v>0</v>
      </c>
      <c r="I150" s="283">
        <f t="shared" si="86"/>
        <v>0</v>
      </c>
      <c r="J150" s="283">
        <f t="shared" si="85"/>
        <v>7831140.3106794003</v>
      </c>
      <c r="K150" s="283">
        <f t="shared" si="85"/>
        <v>0</v>
      </c>
      <c r="L150" s="283">
        <f t="shared" si="85"/>
        <v>0</v>
      </c>
      <c r="M150" s="283">
        <f t="shared" si="85"/>
        <v>2146930.9535677498</v>
      </c>
      <c r="N150" s="283">
        <f t="shared" si="85"/>
        <v>4835524.2575540999</v>
      </c>
      <c r="O150" s="283">
        <f t="shared" si="85"/>
        <v>245.57392199999998</v>
      </c>
      <c r="P150" s="283">
        <f t="shared" si="85"/>
        <v>0</v>
      </c>
      <c r="Q150" s="283">
        <f t="shared" si="85"/>
        <v>883.65292349999993</v>
      </c>
      <c r="R150" s="283">
        <f t="shared" si="85"/>
        <v>0</v>
      </c>
      <c r="S150" s="283">
        <f t="shared" si="85"/>
        <v>0</v>
      </c>
      <c r="T150" s="283">
        <f t="shared" si="85"/>
        <v>3773454.6025430998</v>
      </c>
      <c r="U150" s="283">
        <f t="shared" si="85"/>
        <v>65769.51590025</v>
      </c>
      <c r="V150" s="283">
        <f t="shared" si="85"/>
        <v>156556.35090075003</v>
      </c>
      <c r="W150" s="283">
        <f t="shared" si="85"/>
        <v>178918.0057332</v>
      </c>
      <c r="X150" s="283">
        <f t="shared" si="85"/>
        <v>197466.95274779998</v>
      </c>
      <c r="Y150" s="283">
        <f t="shared" ref="Y150:Y164" si="87">Y110+Y130</f>
        <v>0</v>
      </c>
      <c r="Z150" s="283">
        <f t="shared" ref="Z150:Z166" si="88">SUM(G150:Y150)</f>
        <v>19186890.176471848</v>
      </c>
      <c r="AA150" s="281"/>
      <c r="AB150" s="281"/>
    </row>
    <row r="151" spans="4:28" hidden="1" outlineLevel="1" x14ac:dyDescent="0.25">
      <c r="D151" s="281"/>
      <c r="E151" s="281"/>
      <c r="F151" s="254">
        <v>2006</v>
      </c>
      <c r="G151" s="283">
        <f t="shared" si="85"/>
        <v>0</v>
      </c>
      <c r="H151" s="283">
        <f t="shared" si="86"/>
        <v>0</v>
      </c>
      <c r="I151" s="283">
        <f t="shared" si="86"/>
        <v>0</v>
      </c>
      <c r="J151" s="283">
        <f t="shared" si="85"/>
        <v>8247678.3476131503</v>
      </c>
      <c r="K151" s="283">
        <f t="shared" si="85"/>
        <v>0</v>
      </c>
      <c r="L151" s="283">
        <f t="shared" si="85"/>
        <v>0</v>
      </c>
      <c r="M151" s="283">
        <f t="shared" si="85"/>
        <v>2182129.0878597</v>
      </c>
      <c r="N151" s="283">
        <f t="shared" si="85"/>
        <v>5906055.7380547505</v>
      </c>
      <c r="O151" s="283">
        <f t="shared" si="85"/>
        <v>540.62648730000001</v>
      </c>
      <c r="P151" s="283">
        <f t="shared" si="85"/>
        <v>0</v>
      </c>
      <c r="Q151" s="283">
        <f t="shared" si="85"/>
        <v>30.456223350000002</v>
      </c>
      <c r="R151" s="283">
        <f t="shared" si="85"/>
        <v>0</v>
      </c>
      <c r="S151" s="283">
        <f t="shared" si="85"/>
        <v>0</v>
      </c>
      <c r="T151" s="283">
        <f t="shared" si="85"/>
        <v>3782398.8124276502</v>
      </c>
      <c r="U151" s="283">
        <f t="shared" si="85"/>
        <v>88082.814501599991</v>
      </c>
      <c r="V151" s="283">
        <f t="shared" si="85"/>
        <v>129195.80823645002</v>
      </c>
      <c r="W151" s="283">
        <f t="shared" si="85"/>
        <v>187046.53030335001</v>
      </c>
      <c r="X151" s="283">
        <f t="shared" si="85"/>
        <v>181015.94522895</v>
      </c>
      <c r="Y151" s="283">
        <f t="shared" si="87"/>
        <v>0</v>
      </c>
      <c r="Z151" s="283">
        <f t="shared" si="88"/>
        <v>20704174.166936249</v>
      </c>
      <c r="AA151" s="281"/>
      <c r="AB151" s="281"/>
    </row>
    <row r="152" spans="4:28" hidden="1" outlineLevel="1" x14ac:dyDescent="0.25">
      <c r="D152" s="281"/>
      <c r="E152" s="281"/>
      <c r="F152" s="254">
        <v>2007</v>
      </c>
      <c r="G152" s="283">
        <f t="shared" si="85"/>
        <v>0</v>
      </c>
      <c r="H152" s="283">
        <f t="shared" si="86"/>
        <v>0</v>
      </c>
      <c r="I152" s="283">
        <f t="shared" si="86"/>
        <v>0</v>
      </c>
      <c r="J152" s="283">
        <f t="shared" si="85"/>
        <v>10949639.3157162</v>
      </c>
      <c r="K152" s="283">
        <f t="shared" si="85"/>
        <v>0</v>
      </c>
      <c r="L152" s="283">
        <f t="shared" si="85"/>
        <v>0</v>
      </c>
      <c r="M152" s="283">
        <f t="shared" si="85"/>
        <v>2038229.49479025</v>
      </c>
      <c r="N152" s="283">
        <f t="shared" si="85"/>
        <v>6920251.2380056512</v>
      </c>
      <c r="O152" s="283">
        <f t="shared" si="85"/>
        <v>52802.540604750007</v>
      </c>
      <c r="P152" s="283">
        <f t="shared" si="85"/>
        <v>0</v>
      </c>
      <c r="Q152" s="283">
        <f t="shared" si="85"/>
        <v>8.1159036000000011</v>
      </c>
      <c r="R152" s="283">
        <f t="shared" si="85"/>
        <v>0</v>
      </c>
      <c r="S152" s="283">
        <f t="shared" si="85"/>
        <v>0</v>
      </c>
      <c r="T152" s="283">
        <f t="shared" si="85"/>
        <v>1874298.7415580004</v>
      </c>
      <c r="U152" s="283">
        <f t="shared" si="85"/>
        <v>104578.50265995001</v>
      </c>
      <c r="V152" s="283">
        <f t="shared" si="85"/>
        <v>83430.570110100001</v>
      </c>
      <c r="W152" s="283">
        <f t="shared" si="85"/>
        <v>73206.905907600012</v>
      </c>
      <c r="X152" s="283">
        <f t="shared" si="85"/>
        <v>56011.532502300004</v>
      </c>
      <c r="Y152" s="283">
        <f t="shared" si="87"/>
        <v>0</v>
      </c>
      <c r="Z152" s="283">
        <f t="shared" si="88"/>
        <v>22152456.957758408</v>
      </c>
      <c r="AA152" s="281"/>
      <c r="AB152" s="281"/>
    </row>
    <row r="153" spans="4:28" hidden="1" outlineLevel="1" x14ac:dyDescent="0.25">
      <c r="D153" s="281"/>
      <c r="E153" s="281"/>
      <c r="F153" s="254">
        <v>2008</v>
      </c>
      <c r="G153" s="283">
        <f t="shared" si="85"/>
        <v>0</v>
      </c>
      <c r="H153" s="283">
        <f t="shared" si="86"/>
        <v>0</v>
      </c>
      <c r="I153" s="283">
        <f t="shared" si="86"/>
        <v>0</v>
      </c>
      <c r="J153" s="283">
        <f t="shared" si="85"/>
        <v>11899321.590457201</v>
      </c>
      <c r="K153" s="283">
        <f t="shared" si="85"/>
        <v>0</v>
      </c>
      <c r="L153" s="283">
        <f t="shared" si="85"/>
        <v>0</v>
      </c>
      <c r="M153" s="283">
        <f t="shared" si="85"/>
        <v>2133436.6017992999</v>
      </c>
      <c r="N153" s="283">
        <f t="shared" si="85"/>
        <v>6489701.3895273004</v>
      </c>
      <c r="O153" s="283">
        <f t="shared" si="85"/>
        <v>313.81905060000003</v>
      </c>
      <c r="P153" s="283">
        <f t="shared" si="85"/>
        <v>0</v>
      </c>
      <c r="Q153" s="283">
        <f t="shared" si="85"/>
        <v>7.4190212999999989</v>
      </c>
      <c r="R153" s="283">
        <f t="shared" si="85"/>
        <v>0</v>
      </c>
      <c r="S153" s="283">
        <f t="shared" si="85"/>
        <v>0</v>
      </c>
      <c r="T153" s="283">
        <f t="shared" si="85"/>
        <v>532596.63324630074</v>
      </c>
      <c r="U153" s="283">
        <f t="shared" si="85"/>
        <v>114879.87232245001</v>
      </c>
      <c r="V153" s="283">
        <f t="shared" si="85"/>
        <v>6.1671E-3</v>
      </c>
      <c r="W153" s="283">
        <f t="shared" si="85"/>
        <v>0</v>
      </c>
      <c r="X153" s="283">
        <f t="shared" si="85"/>
        <v>2131.6611985499999</v>
      </c>
      <c r="Y153" s="283">
        <f t="shared" si="87"/>
        <v>0</v>
      </c>
      <c r="Z153" s="283">
        <f t="shared" si="88"/>
        <v>21172388.992790099</v>
      </c>
      <c r="AA153" s="281"/>
      <c r="AB153" s="281"/>
    </row>
    <row r="154" spans="4:28" hidden="1" outlineLevel="1" x14ac:dyDescent="0.25">
      <c r="D154" s="281"/>
      <c r="E154" s="281"/>
      <c r="F154" s="254">
        <v>2009</v>
      </c>
      <c r="G154" s="283">
        <f t="shared" si="85"/>
        <v>0</v>
      </c>
      <c r="H154" s="283">
        <f t="shared" si="86"/>
        <v>0</v>
      </c>
      <c r="I154" s="283">
        <f t="shared" si="86"/>
        <v>0</v>
      </c>
      <c r="J154" s="283">
        <f t="shared" si="85"/>
        <v>11497159.590910502</v>
      </c>
      <c r="K154" s="283">
        <f t="shared" si="85"/>
        <v>0</v>
      </c>
      <c r="L154" s="283">
        <f t="shared" si="85"/>
        <v>0</v>
      </c>
      <c r="M154" s="283">
        <f t="shared" si="85"/>
        <v>1135832.89809315</v>
      </c>
      <c r="N154" s="283">
        <f t="shared" si="85"/>
        <v>6918204.707455501</v>
      </c>
      <c r="O154" s="283">
        <f t="shared" si="85"/>
        <v>694.43396129999996</v>
      </c>
      <c r="P154" s="283">
        <f t="shared" si="85"/>
        <v>0</v>
      </c>
      <c r="Q154" s="283">
        <f t="shared" si="85"/>
        <v>3.5676673500000002</v>
      </c>
      <c r="R154" s="283">
        <f t="shared" si="85"/>
        <v>0</v>
      </c>
      <c r="S154" s="283">
        <f t="shared" si="85"/>
        <v>0</v>
      </c>
      <c r="T154" s="283">
        <f t="shared" si="85"/>
        <v>487432.39134914905</v>
      </c>
      <c r="U154" s="283">
        <f t="shared" si="85"/>
        <v>121140.75849570002</v>
      </c>
      <c r="V154" s="283">
        <f t="shared" si="85"/>
        <v>0</v>
      </c>
      <c r="W154" s="283">
        <f t="shared" si="85"/>
        <v>0</v>
      </c>
      <c r="X154" s="283">
        <f t="shared" si="85"/>
        <v>1226.7749497499999</v>
      </c>
      <c r="Y154" s="283">
        <f t="shared" si="87"/>
        <v>0</v>
      </c>
      <c r="Z154" s="283">
        <f t="shared" si="88"/>
        <v>20161695.1228824</v>
      </c>
      <c r="AA154" s="281"/>
      <c r="AB154" s="281"/>
    </row>
    <row r="155" spans="4:28" hidden="1" outlineLevel="1" x14ac:dyDescent="0.25">
      <c r="D155" s="281"/>
      <c r="E155" s="281"/>
      <c r="F155" s="254">
        <v>2010</v>
      </c>
      <c r="G155" s="283">
        <f t="shared" si="85"/>
        <v>0</v>
      </c>
      <c r="H155" s="283">
        <f t="shared" si="86"/>
        <v>0</v>
      </c>
      <c r="I155" s="283">
        <f t="shared" si="86"/>
        <v>0</v>
      </c>
      <c r="J155" s="283">
        <f t="shared" si="85"/>
        <v>10866207.83595885</v>
      </c>
      <c r="K155" s="283">
        <f t="shared" si="85"/>
        <v>0</v>
      </c>
      <c r="L155" s="283">
        <f t="shared" si="85"/>
        <v>0</v>
      </c>
      <c r="M155" s="283">
        <f t="shared" si="85"/>
        <v>639752.93436944997</v>
      </c>
      <c r="N155" s="283">
        <f t="shared" si="85"/>
        <v>7264140.9695320511</v>
      </c>
      <c r="O155" s="283">
        <f t="shared" si="85"/>
        <v>472.49853359999997</v>
      </c>
      <c r="P155" s="283">
        <f t="shared" si="85"/>
        <v>0</v>
      </c>
      <c r="Q155" s="283">
        <f t="shared" si="85"/>
        <v>65966.940189000001</v>
      </c>
      <c r="R155" s="283">
        <f t="shared" si="85"/>
        <v>0</v>
      </c>
      <c r="S155" s="283">
        <f t="shared" si="85"/>
        <v>0</v>
      </c>
      <c r="T155" s="283">
        <f t="shared" si="85"/>
        <v>470199.78407760151</v>
      </c>
      <c r="U155" s="283">
        <f t="shared" si="85"/>
        <v>98149.051142400014</v>
      </c>
      <c r="V155" s="283">
        <f t="shared" si="85"/>
        <v>0</v>
      </c>
      <c r="W155" s="283">
        <f t="shared" si="85"/>
        <v>0</v>
      </c>
      <c r="X155" s="283">
        <f t="shared" si="85"/>
        <v>1021.7312089499999</v>
      </c>
      <c r="Y155" s="283">
        <f t="shared" si="87"/>
        <v>0</v>
      </c>
      <c r="Z155" s="283">
        <f t="shared" si="88"/>
        <v>19405911.7450119</v>
      </c>
      <c r="AA155" s="281"/>
      <c r="AB155" s="281"/>
    </row>
    <row r="156" spans="4:28" hidden="1" outlineLevel="1" x14ac:dyDescent="0.25">
      <c r="D156" s="281"/>
      <c r="E156" s="281"/>
      <c r="F156" s="254">
        <v>2011</v>
      </c>
      <c r="G156" s="283">
        <f t="shared" si="85"/>
        <v>0</v>
      </c>
      <c r="H156" s="283">
        <f t="shared" si="86"/>
        <v>0</v>
      </c>
      <c r="I156" s="283">
        <f t="shared" si="86"/>
        <v>0</v>
      </c>
      <c r="J156" s="283">
        <f t="shared" si="85"/>
        <v>10821224.695869897</v>
      </c>
      <c r="K156" s="283">
        <f t="shared" si="85"/>
        <v>0</v>
      </c>
      <c r="L156" s="283">
        <f t="shared" si="85"/>
        <v>0</v>
      </c>
      <c r="M156" s="283">
        <f t="shared" si="85"/>
        <v>436943.71046895807</v>
      </c>
      <c r="N156" s="283">
        <f t="shared" si="85"/>
        <v>9245811.825825654</v>
      </c>
      <c r="O156" s="283">
        <f t="shared" si="85"/>
        <v>72624.83080529602</v>
      </c>
      <c r="P156" s="283">
        <f t="shared" si="85"/>
        <v>0</v>
      </c>
      <c r="Q156" s="283">
        <f t="shared" si="85"/>
        <v>386043.95310096006</v>
      </c>
      <c r="R156" s="283">
        <f t="shared" si="85"/>
        <v>0</v>
      </c>
      <c r="S156" s="283">
        <f t="shared" si="85"/>
        <v>0</v>
      </c>
      <c r="T156" s="283">
        <f t="shared" si="85"/>
        <v>430232.61333390774</v>
      </c>
      <c r="U156" s="283">
        <f t="shared" si="85"/>
        <v>118094.93335794001</v>
      </c>
      <c r="V156" s="283">
        <f t="shared" si="85"/>
        <v>0</v>
      </c>
      <c r="W156" s="283">
        <f t="shared" si="85"/>
        <v>0</v>
      </c>
      <c r="X156" s="283">
        <f t="shared" si="85"/>
        <v>19.795991600000001</v>
      </c>
      <c r="Y156" s="283">
        <f t="shared" si="87"/>
        <v>0</v>
      </c>
      <c r="Z156" s="283">
        <f t="shared" si="88"/>
        <v>21510996.35875421</v>
      </c>
      <c r="AA156" s="281"/>
      <c r="AB156" s="281"/>
    </row>
    <row r="157" spans="4:28" ht="15.75" collapsed="1" thickBot="1" x14ac:dyDescent="0.3">
      <c r="D157" s="298" t="s">
        <v>225</v>
      </c>
      <c r="E157" s="281"/>
      <c r="F157" s="254">
        <v>2012</v>
      </c>
      <c r="G157" s="283">
        <f t="shared" si="85"/>
        <v>0</v>
      </c>
      <c r="H157" s="283">
        <f t="shared" si="86"/>
        <v>0</v>
      </c>
      <c r="I157" s="283">
        <f t="shared" si="86"/>
        <v>0</v>
      </c>
      <c r="J157" s="283">
        <f t="shared" si="85"/>
        <v>10596927.535814766</v>
      </c>
      <c r="K157" s="283">
        <f t="shared" si="85"/>
        <v>17155.273527315083</v>
      </c>
      <c r="L157" s="283">
        <f t="shared" si="85"/>
        <v>397030.5549124406</v>
      </c>
      <c r="M157" s="283">
        <f t="shared" si="85"/>
        <v>419376.99928076577</v>
      </c>
      <c r="N157" s="283">
        <f t="shared" si="85"/>
        <v>10686791.903038435</v>
      </c>
      <c r="O157" s="283">
        <f t="shared" si="85"/>
        <v>51164.757610183122</v>
      </c>
      <c r="P157" s="283">
        <f t="shared" si="85"/>
        <v>0</v>
      </c>
      <c r="Q157" s="283">
        <f t="shared" si="85"/>
        <v>0</v>
      </c>
      <c r="R157" s="283">
        <f t="shared" si="85"/>
        <v>0</v>
      </c>
      <c r="S157" s="283">
        <f t="shared" si="85"/>
        <v>0</v>
      </c>
      <c r="T157" s="283">
        <f t="shared" si="85"/>
        <v>0</v>
      </c>
      <c r="U157" s="283">
        <f t="shared" si="85"/>
        <v>12083.144165922353</v>
      </c>
      <c r="V157" s="283">
        <f t="shared" si="85"/>
        <v>0</v>
      </c>
      <c r="W157" s="283">
        <f t="shared" si="85"/>
        <v>0</v>
      </c>
      <c r="X157" s="283">
        <f t="shared" si="85"/>
        <v>0</v>
      </c>
      <c r="Y157" s="283">
        <f t="shared" si="87"/>
        <v>34336.571734135512</v>
      </c>
      <c r="Z157" s="283">
        <f t="shared" si="88"/>
        <v>22214866.740083959</v>
      </c>
      <c r="AA157" s="281"/>
      <c r="AB157" s="281"/>
    </row>
    <row r="158" spans="4:28" x14ac:dyDescent="0.25">
      <c r="D158" s="281"/>
      <c r="E158" s="281"/>
      <c r="F158" s="254">
        <v>2013</v>
      </c>
      <c r="G158" s="283">
        <f t="shared" si="85"/>
        <v>2726300.9456562451</v>
      </c>
      <c r="H158" s="283">
        <f t="shared" si="86"/>
        <v>0</v>
      </c>
      <c r="I158" s="283">
        <f t="shared" si="86"/>
        <v>17326.747407056999</v>
      </c>
      <c r="J158" s="283">
        <f t="shared" si="85"/>
        <v>9061669.3980797753</v>
      </c>
      <c r="K158" s="283">
        <f t="shared" si="85"/>
        <v>29.575285258591901</v>
      </c>
      <c r="L158" s="283">
        <f t="shared" si="85"/>
        <v>336973.4110218237</v>
      </c>
      <c r="M158" s="283">
        <f t="shared" si="85"/>
        <v>474566.49773149256</v>
      </c>
      <c r="N158" s="283">
        <f t="shared" si="85"/>
        <v>12646395.544035096</v>
      </c>
      <c r="O158" s="283">
        <f t="shared" si="85"/>
        <v>84736.674963008409</v>
      </c>
      <c r="P158" s="283">
        <f t="shared" si="85"/>
        <v>0</v>
      </c>
      <c r="Q158" s="283">
        <f t="shared" si="85"/>
        <v>0</v>
      </c>
      <c r="R158" s="283">
        <f t="shared" si="85"/>
        <v>0</v>
      </c>
      <c r="S158" s="283">
        <f t="shared" si="85"/>
        <v>0</v>
      </c>
      <c r="T158" s="283">
        <f t="shared" si="85"/>
        <v>0</v>
      </c>
      <c r="U158" s="283">
        <f t="shared" si="85"/>
        <v>55.284592419207115</v>
      </c>
      <c r="V158" s="283">
        <f t="shared" si="85"/>
        <v>0</v>
      </c>
      <c r="W158" s="283">
        <f t="shared" si="85"/>
        <v>0</v>
      </c>
      <c r="X158" s="283">
        <f t="shared" si="85"/>
        <v>0</v>
      </c>
      <c r="Y158" s="283">
        <f t="shared" si="87"/>
        <v>17217.79661168599</v>
      </c>
      <c r="Z158" s="283">
        <f t="shared" si="88"/>
        <v>25365271.875383861</v>
      </c>
      <c r="AA158" s="281"/>
      <c r="AB158" s="281"/>
    </row>
    <row r="159" spans="4:28" x14ac:dyDescent="0.25">
      <c r="D159" s="281"/>
      <c r="E159" s="281"/>
      <c r="F159" s="254">
        <v>2014</v>
      </c>
      <c r="G159" s="283">
        <f t="shared" si="85"/>
        <v>3059795.5842452869</v>
      </c>
      <c r="H159" s="283">
        <f t="shared" si="86"/>
        <v>432211.33661855507</v>
      </c>
      <c r="I159" s="283">
        <f t="shared" si="86"/>
        <v>580919.14131724357</v>
      </c>
      <c r="J159" s="283">
        <f t="shared" si="85"/>
        <v>8999265.5625061989</v>
      </c>
      <c r="K159" s="283">
        <f t="shared" si="85"/>
        <v>9.1929986622416759</v>
      </c>
      <c r="L159" s="283">
        <f t="shared" si="85"/>
        <v>320875.72319427266</v>
      </c>
      <c r="M159" s="283">
        <f t="shared" si="85"/>
        <v>988925.35635009955</v>
      </c>
      <c r="N159" s="283">
        <f t="shared" si="85"/>
        <v>15748950.272878109</v>
      </c>
      <c r="O159" s="283">
        <f t="shared" si="85"/>
        <v>27771.704129472393</v>
      </c>
      <c r="P159" s="283">
        <f t="shared" si="85"/>
        <v>0</v>
      </c>
      <c r="Q159" s="283">
        <f t="shared" si="85"/>
        <v>0</v>
      </c>
      <c r="R159" s="283">
        <f t="shared" si="85"/>
        <v>0</v>
      </c>
      <c r="S159" s="283">
        <f t="shared" si="85"/>
        <v>27.512964871034548</v>
      </c>
      <c r="T159" s="283">
        <f t="shared" si="85"/>
        <v>0</v>
      </c>
      <c r="U159" s="283">
        <f t="shared" si="85"/>
        <v>18.3419765806897</v>
      </c>
      <c r="V159" s="283">
        <f t="shared" si="85"/>
        <v>0</v>
      </c>
      <c r="W159" s="283">
        <f t="shared" si="85"/>
        <v>0</v>
      </c>
      <c r="X159" s="283">
        <f t="shared" si="85"/>
        <v>0</v>
      </c>
      <c r="Y159" s="283">
        <f t="shared" si="87"/>
        <v>192843.63797789608</v>
      </c>
      <c r="Z159" s="283">
        <f t="shared" si="88"/>
        <v>30351613.367157247</v>
      </c>
      <c r="AA159" s="281"/>
      <c r="AB159" s="281"/>
    </row>
    <row r="160" spans="4:28" x14ac:dyDescent="0.25">
      <c r="D160" s="281"/>
      <c r="E160" s="281"/>
      <c r="F160" s="254">
        <v>2015</v>
      </c>
      <c r="G160" s="283">
        <f t="shared" si="85"/>
        <v>3252896.7633727533</v>
      </c>
      <c r="H160" s="283">
        <f t="shared" si="86"/>
        <v>771869.45404066681</v>
      </c>
      <c r="I160" s="283">
        <f t="shared" si="86"/>
        <v>642913.42694084276</v>
      </c>
      <c r="J160" s="283">
        <f t="shared" si="85"/>
        <v>9586986.742249433</v>
      </c>
      <c r="K160" s="283">
        <f t="shared" si="85"/>
        <v>0.94437059395089906</v>
      </c>
      <c r="L160" s="283">
        <f t="shared" si="85"/>
        <v>314668.79636622011</v>
      </c>
      <c r="M160" s="283">
        <f t="shared" si="85"/>
        <v>1031805.2342737815</v>
      </c>
      <c r="N160" s="283">
        <f t="shared" si="85"/>
        <v>17285165.80179701</v>
      </c>
      <c r="O160" s="283">
        <f t="shared" si="85"/>
        <v>139248.49584766277</v>
      </c>
      <c r="P160" s="283">
        <f t="shared" si="85"/>
        <v>0</v>
      </c>
      <c r="Q160" s="283">
        <f t="shared" si="85"/>
        <v>0</v>
      </c>
      <c r="R160" s="283">
        <f t="shared" si="85"/>
        <v>0</v>
      </c>
      <c r="S160" s="283">
        <f t="shared" si="85"/>
        <v>405231.27357137774</v>
      </c>
      <c r="T160" s="283">
        <f t="shared" si="85"/>
        <v>0</v>
      </c>
      <c r="U160" s="283">
        <f t="shared" si="85"/>
        <v>18.517070469625473</v>
      </c>
      <c r="V160" s="283">
        <f t="shared" si="85"/>
        <v>0</v>
      </c>
      <c r="W160" s="283">
        <f t="shared" si="85"/>
        <v>0</v>
      </c>
      <c r="X160" s="283">
        <f t="shared" si="85"/>
        <v>0</v>
      </c>
      <c r="Y160" s="283">
        <f t="shared" si="87"/>
        <v>117797.78695633344</v>
      </c>
      <c r="Z160" s="283">
        <f t="shared" si="88"/>
        <v>33548603.236857142</v>
      </c>
      <c r="AA160" s="281"/>
      <c r="AB160" s="281"/>
    </row>
    <row r="161" spans="4:28" x14ac:dyDescent="0.25">
      <c r="D161" s="281"/>
      <c r="E161" s="281"/>
      <c r="F161" s="254">
        <v>2016</v>
      </c>
      <c r="G161" s="283">
        <f t="shared" si="85"/>
        <v>3600476.4639698132</v>
      </c>
      <c r="H161" s="283">
        <f t="shared" si="86"/>
        <v>874145.71061282023</v>
      </c>
      <c r="I161" s="283">
        <f t="shared" si="86"/>
        <v>635533.98678839509</v>
      </c>
      <c r="J161" s="283">
        <f t="shared" si="85"/>
        <v>10175109.183154544</v>
      </c>
      <c r="K161" s="283">
        <f t="shared" si="85"/>
        <v>1.6191530822106302E-2</v>
      </c>
      <c r="L161" s="283">
        <f t="shared" si="85"/>
        <v>331777.90956342313</v>
      </c>
      <c r="M161" s="283">
        <f t="shared" si="85"/>
        <v>1208556.0109221223</v>
      </c>
      <c r="N161" s="283">
        <f t="shared" si="85"/>
        <v>18618516.02656183</v>
      </c>
      <c r="O161" s="283">
        <f t="shared" si="85"/>
        <v>592781.71903404547</v>
      </c>
      <c r="P161" s="283">
        <f t="shared" si="85"/>
        <v>0</v>
      </c>
      <c r="Q161" s="283">
        <f t="shared" si="85"/>
        <v>184352.60466919839</v>
      </c>
      <c r="R161" s="283">
        <f t="shared" si="85"/>
        <v>0</v>
      </c>
      <c r="S161" s="283">
        <f t="shared" si="85"/>
        <v>349366.68448994041</v>
      </c>
      <c r="T161" s="283">
        <f t="shared" si="85"/>
        <v>0</v>
      </c>
      <c r="U161" s="283">
        <f t="shared" si="85"/>
        <v>14.572377739895671</v>
      </c>
      <c r="V161" s="283">
        <f t="shared" si="85"/>
        <v>0</v>
      </c>
      <c r="W161" s="283">
        <f t="shared" si="85"/>
        <v>0</v>
      </c>
      <c r="X161" s="283">
        <f t="shared" si="85"/>
        <v>0</v>
      </c>
      <c r="Y161" s="283">
        <f t="shared" si="87"/>
        <v>179347.22754702042</v>
      </c>
      <c r="Z161" s="283">
        <f t="shared" si="88"/>
        <v>36749978.115882427</v>
      </c>
      <c r="AA161" s="281"/>
      <c r="AB161" s="281"/>
    </row>
    <row r="162" spans="4:28" x14ac:dyDescent="0.25">
      <c r="D162" s="281"/>
      <c r="E162" s="281"/>
      <c r="F162" s="254">
        <v>2017</v>
      </c>
      <c r="G162" s="283">
        <f t="shared" si="85"/>
        <v>3209273.5408273344</v>
      </c>
      <c r="H162" s="283">
        <f t="shared" si="86"/>
        <v>536918.77759096632</v>
      </c>
      <c r="I162" s="283">
        <f t="shared" si="86"/>
        <v>594088.4363529468</v>
      </c>
      <c r="J162" s="283">
        <f t="shared" si="85"/>
        <v>8839904.3898717221</v>
      </c>
      <c r="K162" s="283">
        <f t="shared" si="85"/>
        <v>2.7076183136865738E-2</v>
      </c>
      <c r="L162" s="283">
        <f t="shared" si="85"/>
        <v>317858.04761626752</v>
      </c>
      <c r="M162" s="283">
        <f t="shared" si="85"/>
        <v>987486.64448090142</v>
      </c>
      <c r="N162" s="283">
        <f t="shared" si="85"/>
        <v>20216454.395763338</v>
      </c>
      <c r="O162" s="283">
        <f t="shared" si="85"/>
        <v>582006.10350691981</v>
      </c>
      <c r="P162" s="283">
        <f t="shared" si="85"/>
        <v>105315.94354400467</v>
      </c>
      <c r="Q162" s="283">
        <f t="shared" si="85"/>
        <v>394456.44206559734</v>
      </c>
      <c r="R162" s="283">
        <f t="shared" si="85"/>
        <v>0</v>
      </c>
      <c r="S162" s="283">
        <f t="shared" si="85"/>
        <v>304829.47179407801</v>
      </c>
      <c r="T162" s="283">
        <f t="shared" si="85"/>
        <v>0</v>
      </c>
      <c r="U162" s="283">
        <f t="shared" si="85"/>
        <v>0</v>
      </c>
      <c r="V162" s="283">
        <f t="shared" si="85"/>
        <v>0</v>
      </c>
      <c r="W162" s="283">
        <f t="shared" si="85"/>
        <v>0</v>
      </c>
      <c r="X162" s="283">
        <f t="shared" si="85"/>
        <v>0</v>
      </c>
      <c r="Y162" s="283">
        <f t="shared" si="87"/>
        <v>113017.16959320132</v>
      </c>
      <c r="Z162" s="283">
        <f t="shared" si="88"/>
        <v>36201609.390083462</v>
      </c>
      <c r="AA162" s="281"/>
      <c r="AB162" s="281"/>
    </row>
    <row r="163" spans="4:28" x14ac:dyDescent="0.25">
      <c r="D163" s="281"/>
      <c r="E163" s="281"/>
      <c r="F163" s="254">
        <v>2018</v>
      </c>
      <c r="G163" s="283">
        <f t="shared" si="85"/>
        <v>3395254.1795204729</v>
      </c>
      <c r="H163" s="283">
        <f t="shared" si="86"/>
        <v>721534.27183097508</v>
      </c>
      <c r="I163" s="283">
        <f t="shared" si="86"/>
        <v>416789.59895260248</v>
      </c>
      <c r="J163" s="283">
        <f t="shared" si="85"/>
        <v>8730032.2102064714</v>
      </c>
      <c r="K163" s="283">
        <f t="shared" si="85"/>
        <v>1.5419032712808539E-2</v>
      </c>
      <c r="L163" s="283">
        <f t="shared" si="85"/>
        <v>292774.34197203245</v>
      </c>
      <c r="M163" s="283">
        <f t="shared" si="85"/>
        <v>550260.9478010874</v>
      </c>
      <c r="N163" s="283">
        <f t="shared" si="85"/>
        <v>20017644.282079086</v>
      </c>
      <c r="O163" s="283">
        <f t="shared" si="85"/>
        <v>453517.72716499609</v>
      </c>
      <c r="P163" s="283">
        <f t="shared" si="85"/>
        <v>1055343.2778520884</v>
      </c>
      <c r="Q163" s="283">
        <f t="shared" si="85"/>
        <v>240191.04599703217</v>
      </c>
      <c r="R163" s="283">
        <f t="shared" si="85"/>
        <v>0</v>
      </c>
      <c r="S163" s="283">
        <f t="shared" si="85"/>
        <v>251262.77495066062</v>
      </c>
      <c r="T163" s="283">
        <f t="shared" si="85"/>
        <v>0</v>
      </c>
      <c r="U163" s="283">
        <f t="shared" si="85"/>
        <v>19.27379089101067</v>
      </c>
      <c r="V163" s="283">
        <f t="shared" si="85"/>
        <v>0</v>
      </c>
      <c r="W163" s="283">
        <f t="shared" si="85"/>
        <v>0</v>
      </c>
      <c r="X163" s="283">
        <f t="shared" si="85"/>
        <v>0</v>
      </c>
      <c r="Y163" s="283">
        <f t="shared" si="87"/>
        <v>98405.000852468831</v>
      </c>
      <c r="Z163" s="283">
        <f t="shared" si="88"/>
        <v>36223028.948389895</v>
      </c>
      <c r="AA163" s="281"/>
      <c r="AB163" s="281"/>
    </row>
    <row r="164" spans="4:28" x14ac:dyDescent="0.25">
      <c r="D164" s="281"/>
      <c r="E164" s="281"/>
      <c r="F164" s="254">
        <v>2019</v>
      </c>
      <c r="G164" s="283">
        <f t="shared" si="85"/>
        <v>3466686.4331238288</v>
      </c>
      <c r="H164" s="283">
        <f t="shared" si="86"/>
        <v>573025.72878945048</v>
      </c>
      <c r="I164" s="283">
        <f t="shared" si="86"/>
        <v>479947.06980477512</v>
      </c>
      <c r="J164" s="283">
        <f t="shared" si="85"/>
        <v>7988940.0032107132</v>
      </c>
      <c r="K164" s="283">
        <f t="shared" si="85"/>
        <v>20545.94552065889</v>
      </c>
      <c r="L164" s="283">
        <f t="shared" si="85"/>
        <v>276679.75092811754</v>
      </c>
      <c r="M164" s="283">
        <f t="shared" si="85"/>
        <v>397651.54434428189</v>
      </c>
      <c r="N164" s="283">
        <f t="shared" si="85"/>
        <v>16833311.021974221</v>
      </c>
      <c r="O164" s="283">
        <f t="shared" si="85"/>
        <v>147783.28769769869</v>
      </c>
      <c r="P164" s="283">
        <f t="shared" si="85"/>
        <v>1028582.8829946923</v>
      </c>
      <c r="Q164" s="283">
        <f t="shared" si="85"/>
        <v>98232.401051785637</v>
      </c>
      <c r="R164" s="283">
        <f t="shared" si="85"/>
        <v>0</v>
      </c>
      <c r="S164" s="283">
        <f t="shared" si="85"/>
        <v>193936.61259501916</v>
      </c>
      <c r="T164" s="283">
        <f t="shared" si="85"/>
        <v>0</v>
      </c>
      <c r="U164" s="283">
        <f t="shared" si="85"/>
        <v>0</v>
      </c>
      <c r="V164" s="283">
        <f t="shared" si="85"/>
        <v>0</v>
      </c>
      <c r="W164" s="283">
        <f t="shared" si="85"/>
        <v>0</v>
      </c>
      <c r="X164" s="283">
        <f t="shared" si="85"/>
        <v>0</v>
      </c>
      <c r="Y164" s="283">
        <f t="shared" si="87"/>
        <v>22694.143284463211</v>
      </c>
      <c r="Z164" s="283">
        <f t="shared" si="88"/>
        <v>31528016.825319704</v>
      </c>
      <c r="AA164" s="281"/>
      <c r="AB164" s="281"/>
    </row>
    <row r="165" spans="4:28" x14ac:dyDescent="0.25">
      <c r="D165" s="281"/>
      <c r="E165" s="281"/>
      <c r="F165" s="254">
        <v>2020</v>
      </c>
      <c r="G165" s="283">
        <f t="shared" si="85"/>
        <v>1607344.7223292063</v>
      </c>
      <c r="H165" s="283">
        <f t="shared" si="86"/>
        <v>282393.8491342637</v>
      </c>
      <c r="I165" s="283">
        <f t="shared" si="86"/>
        <v>165836.45637953348</v>
      </c>
      <c r="J165" s="283">
        <f t="shared" si="85"/>
        <v>3629240.7189458511</v>
      </c>
      <c r="K165" s="283">
        <f t="shared" si="85"/>
        <v>6.3892684661160883</v>
      </c>
      <c r="L165" s="283">
        <f t="shared" si="85"/>
        <v>130010.62506986462</v>
      </c>
      <c r="M165" s="283">
        <f t="shared" si="85"/>
        <v>190716.65853132526</v>
      </c>
      <c r="N165" s="283">
        <f t="shared" si="85"/>
        <v>8958259.4022000693</v>
      </c>
      <c r="O165" s="283">
        <f t="shared" si="85"/>
        <v>209923.7468004355</v>
      </c>
      <c r="P165" s="283">
        <f t="shared" si="85"/>
        <v>476145.30835654773</v>
      </c>
      <c r="Q165" s="283">
        <f t="shared" si="85"/>
        <v>42864.169408475274</v>
      </c>
      <c r="R165" s="283">
        <f t="shared" si="85"/>
        <v>0</v>
      </c>
      <c r="S165" s="283">
        <f t="shared" si="85"/>
        <v>99114.651951834632</v>
      </c>
      <c r="T165" s="283">
        <f t="shared" si="85"/>
        <v>0</v>
      </c>
      <c r="U165" s="283">
        <f t="shared" si="85"/>
        <v>11.840749566560579</v>
      </c>
      <c r="V165" s="283">
        <f t="shared" si="85"/>
        <v>0</v>
      </c>
      <c r="W165" s="283">
        <f t="shared" si="85"/>
        <v>0</v>
      </c>
      <c r="X165" s="283">
        <f t="shared" ref="X165" si="89">X125+X145</f>
        <v>0</v>
      </c>
      <c r="Y165" s="283">
        <f t="shared" ref="Y165" si="90">Y125+Y145</f>
        <v>19655.974024526568</v>
      </c>
      <c r="Z165" s="283">
        <f t="shared" si="88"/>
        <v>15811524.513149969</v>
      </c>
      <c r="AA165" s="281"/>
      <c r="AB165" s="281"/>
    </row>
    <row r="166" spans="4:28" ht="15.75" thickBot="1" x14ac:dyDescent="0.3">
      <c r="D166" s="281"/>
      <c r="E166" s="281"/>
      <c r="F166" s="254">
        <v>2021</v>
      </c>
      <c r="G166" s="283">
        <f t="shared" ref="G166:X166" si="91">G126+G146</f>
        <v>505178.32310331886</v>
      </c>
      <c r="H166" s="283">
        <f t="shared" ref="H166:I166" si="92">H126+H146</f>
        <v>227833.38380078008</v>
      </c>
      <c r="I166" s="283">
        <f t="shared" si="92"/>
        <v>122130.91301159044</v>
      </c>
      <c r="J166" s="283">
        <f t="shared" si="91"/>
        <v>246438.13620792574</v>
      </c>
      <c r="K166" s="283">
        <f t="shared" si="91"/>
        <v>0.47314163320981462</v>
      </c>
      <c r="L166" s="283">
        <f t="shared" si="91"/>
        <v>1801.9322589451706</v>
      </c>
      <c r="M166" s="283">
        <f t="shared" si="91"/>
        <v>0</v>
      </c>
      <c r="N166" s="283">
        <f t="shared" si="91"/>
        <v>3453840.2250265297</v>
      </c>
      <c r="O166" s="283">
        <f t="shared" si="91"/>
        <v>413.9958567103202</v>
      </c>
      <c r="P166" s="283">
        <f t="shared" si="91"/>
        <v>55468.98365077615</v>
      </c>
      <c r="Q166" s="283">
        <f t="shared" si="91"/>
        <v>0</v>
      </c>
      <c r="R166" s="283">
        <f t="shared" si="91"/>
        <v>0</v>
      </c>
      <c r="S166" s="283">
        <f t="shared" si="91"/>
        <v>17298.856920700397</v>
      </c>
      <c r="T166" s="283">
        <f t="shared" si="91"/>
        <v>0</v>
      </c>
      <c r="U166" s="283">
        <f t="shared" si="91"/>
        <v>0</v>
      </c>
      <c r="V166" s="283">
        <f t="shared" si="91"/>
        <v>0</v>
      </c>
      <c r="W166" s="283">
        <f t="shared" si="91"/>
        <v>0</v>
      </c>
      <c r="X166" s="283">
        <f t="shared" si="91"/>
        <v>0</v>
      </c>
      <c r="Y166" s="283">
        <f t="shared" ref="Y166" si="93">Y126+Y146</f>
        <v>-8896.8472809080613</v>
      </c>
      <c r="Z166" s="283">
        <f t="shared" si="88"/>
        <v>4621508.375698003</v>
      </c>
      <c r="AA166" s="281"/>
      <c r="AB166" s="281"/>
    </row>
    <row r="167" spans="4:28" hidden="1" outlineLevel="1" x14ac:dyDescent="0.25">
      <c r="D167" s="281"/>
      <c r="E167" s="281"/>
      <c r="F167" s="281"/>
      <c r="G167" s="285">
        <f t="shared" ref="G167:X167" si="94">SUM(G150:G166)</f>
        <v>24823206.956148263</v>
      </c>
      <c r="H167" s="285">
        <f t="shared" ref="H167:I167" si="95">SUM(H150:H166)</f>
        <v>4419932.5124184778</v>
      </c>
      <c r="I167" s="285">
        <f t="shared" si="95"/>
        <v>3655485.7769549866</v>
      </c>
      <c r="J167" s="285">
        <f t="shared" si="94"/>
        <v>149966885.56745261</v>
      </c>
      <c r="K167" s="285">
        <f t="shared" si="94"/>
        <v>37747.85279933476</v>
      </c>
      <c r="L167" s="285">
        <f t="shared" si="94"/>
        <v>2720451.0929034073</v>
      </c>
      <c r="M167" s="285">
        <f t="shared" si="94"/>
        <v>16962601.574664418</v>
      </c>
      <c r="N167" s="285">
        <f t="shared" si="94"/>
        <v>192045019.00130868</v>
      </c>
      <c r="O167" s="285">
        <f t="shared" si="94"/>
        <v>2417042.5359759787</v>
      </c>
      <c r="P167" s="285">
        <f t="shared" si="94"/>
        <v>2720856.3963981089</v>
      </c>
      <c r="Q167" s="285">
        <f t="shared" si="94"/>
        <v>1413040.7682211488</v>
      </c>
      <c r="R167" s="285">
        <f t="shared" si="94"/>
        <v>0</v>
      </c>
      <c r="S167" s="285">
        <f t="shared" si="94"/>
        <v>1621067.8392384818</v>
      </c>
      <c r="T167" s="285">
        <f t="shared" si="94"/>
        <v>11350613.57853571</v>
      </c>
      <c r="U167" s="285">
        <f t="shared" si="94"/>
        <v>722916.42310387944</v>
      </c>
      <c r="V167" s="285">
        <f t="shared" si="94"/>
        <v>369182.73541440006</v>
      </c>
      <c r="W167" s="285">
        <f t="shared" si="94"/>
        <v>439171.44194415002</v>
      </c>
      <c r="X167" s="285">
        <f t="shared" si="94"/>
        <v>438894.3938279</v>
      </c>
      <c r="Y167" s="285">
        <f t="shared" ref="Y167" si="96">SUM(Y150:Y166)</f>
        <v>786418.46130082337</v>
      </c>
      <c r="Z167" s="285">
        <f>SUM(Z150:Z166)</f>
        <v>416910534.90861082</v>
      </c>
      <c r="AA167" s="283">
        <f>SUM(G167:Y167)-Z167</f>
        <v>0</v>
      </c>
      <c r="AB167" s="283" t="s">
        <v>223</v>
      </c>
    </row>
    <row r="168" spans="4:28" ht="15.75" collapsed="1" thickBot="1" x14ac:dyDescent="0.3">
      <c r="D168" s="298" t="s">
        <v>225</v>
      </c>
      <c r="E168" s="281"/>
      <c r="F168" s="294" t="s">
        <v>224</v>
      </c>
      <c r="G168" s="286">
        <f t="shared" ref="G168:X168" si="97">SUM(G157:G166)</f>
        <v>24823206.956148263</v>
      </c>
      <c r="H168" s="286">
        <f t="shared" ref="H168:I168" si="98">SUM(H157:H166)</f>
        <v>4419932.5124184778</v>
      </c>
      <c r="I168" s="286">
        <f t="shared" si="98"/>
        <v>3655485.7769549866</v>
      </c>
      <c r="J168" s="287">
        <f t="shared" si="97"/>
        <v>77854513.880247399</v>
      </c>
      <c r="K168" s="288">
        <f t="shared" si="97"/>
        <v>37747.85279933476</v>
      </c>
      <c r="L168" s="287">
        <f t="shared" si="97"/>
        <v>2720451.0929034073</v>
      </c>
      <c r="M168" s="289">
        <f t="shared" si="97"/>
        <v>6249345.8937158566</v>
      </c>
      <c r="N168" s="290">
        <f t="shared" si="97"/>
        <v>144465328.87535369</v>
      </c>
      <c r="O168" s="291">
        <f t="shared" si="97"/>
        <v>2289348.2126111328</v>
      </c>
      <c r="P168" s="292">
        <f t="shared" si="97"/>
        <v>2720856.3963981089</v>
      </c>
      <c r="Q168" s="288">
        <f t="shared" si="97"/>
        <v>960096.66319208883</v>
      </c>
      <c r="R168" s="293">
        <f t="shared" si="97"/>
        <v>0</v>
      </c>
      <c r="S168" s="293">
        <f t="shared" si="97"/>
        <v>1621067.8392384818</v>
      </c>
      <c r="T168" s="287">
        <f t="shared" si="97"/>
        <v>0</v>
      </c>
      <c r="U168" s="293">
        <f t="shared" si="97"/>
        <v>12220.974723589343</v>
      </c>
      <c r="V168" s="284">
        <f t="shared" si="97"/>
        <v>0</v>
      </c>
      <c r="W168" s="284">
        <f t="shared" si="97"/>
        <v>0</v>
      </c>
      <c r="X168" s="284">
        <f t="shared" si="97"/>
        <v>0</v>
      </c>
      <c r="Y168" s="284">
        <f t="shared" ref="Y168" si="99">SUM(Y157:Y166)</f>
        <v>786418.46130082337</v>
      </c>
      <c r="Z168" s="284">
        <f>SUM(G168:Y168)</f>
        <v>272616021.38800567</v>
      </c>
      <c r="AA168" s="283">
        <f>SUM(G157:Y166)-Z168</f>
        <v>0</v>
      </c>
      <c r="AB168" s="283" t="s">
        <v>223</v>
      </c>
    </row>
    <row r="169" spans="4:28" x14ac:dyDescent="0.25">
      <c r="D169" s="281"/>
      <c r="E169" s="281"/>
      <c r="F169" s="281"/>
      <c r="G169" s="280"/>
      <c r="H169" s="281"/>
      <c r="I169" s="281"/>
      <c r="J169" s="281"/>
      <c r="K169" s="281"/>
      <c r="L169" s="281"/>
      <c r="M169" s="281"/>
      <c r="N169" s="281"/>
      <c r="O169" s="281"/>
      <c r="P169" s="281"/>
      <c r="Q169" s="281"/>
      <c r="R169" s="281"/>
      <c r="S169" s="281"/>
      <c r="T169" s="281"/>
      <c r="U169" s="281"/>
      <c r="V169" s="281"/>
      <c r="W169" s="281"/>
      <c r="X169" s="281"/>
      <c r="Y169" s="281"/>
      <c r="Z169" s="281"/>
      <c r="AA169" s="281"/>
      <c r="AB169" s="281"/>
    </row>
    <row r="170" spans="4:28" x14ac:dyDescent="0.25">
      <c r="G170" s="280"/>
      <c r="H170" s="281"/>
      <c r="I170" s="281"/>
      <c r="J170" s="281"/>
      <c r="K170" s="281"/>
      <c r="L170" s="281"/>
      <c r="M170" s="281"/>
      <c r="N170" s="281"/>
      <c r="O170" s="281"/>
      <c r="P170" s="281"/>
      <c r="Q170" s="281"/>
      <c r="R170" s="281"/>
      <c r="S170" s="281"/>
      <c r="T170" s="281"/>
      <c r="U170" s="281"/>
      <c r="V170" s="281"/>
      <c r="W170" s="281"/>
      <c r="X170" s="283">
        <f>Z168-L44</f>
        <v>0</v>
      </c>
      <c r="Y170" s="281"/>
      <c r="Z170" s="281"/>
      <c r="AA170" s="281"/>
      <c r="AB170" s="281"/>
    </row>
    <row r="171" spans="4:28" x14ac:dyDescent="0.25">
      <c r="G171" s="280"/>
      <c r="H171" s="281"/>
      <c r="I171" s="281"/>
      <c r="J171" s="281"/>
      <c r="K171" s="281"/>
      <c r="L171" s="281"/>
      <c r="M171" s="281"/>
      <c r="N171" s="281"/>
      <c r="O171" s="281"/>
      <c r="P171" s="281"/>
      <c r="Q171" s="281"/>
      <c r="R171" s="281"/>
      <c r="S171" s="281"/>
      <c r="T171" s="281"/>
      <c r="U171" s="281"/>
      <c r="V171" s="281"/>
      <c r="W171" s="281"/>
      <c r="X171" s="281" t="s">
        <v>222</v>
      </c>
      <c r="Y171" s="281"/>
      <c r="Z171" s="283">
        <f>Z168-'[1]Bonus Jackpot Split'!$M$48</f>
        <v>0</v>
      </c>
      <c r="AA171" s="281"/>
      <c r="AB171" s="281"/>
    </row>
    <row r="172" spans="4:28" x14ac:dyDescent="0.25">
      <c r="G172" s="197"/>
    </row>
    <row r="173" spans="4:28" x14ac:dyDescent="0.25">
      <c r="G173" s="197"/>
    </row>
    <row r="174" spans="4:28" x14ac:dyDescent="0.25">
      <c r="G174" s="197"/>
    </row>
  </sheetData>
  <mergeCells count="6">
    <mergeCell ref="B75:B84"/>
    <mergeCell ref="B2:C2"/>
    <mergeCell ref="M13:R13"/>
    <mergeCell ref="M14:R14"/>
    <mergeCell ref="M15:R15"/>
    <mergeCell ref="B24:C24"/>
  </mergeCells>
  <pageMargins left="0.70866141732283472" right="0.70866141732283472" top="0.74803149606299213" bottom="0.74803149606299213" header="0.31496062992125984" footer="0.31496062992125984"/>
  <pageSetup paperSize="8"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87" zoomScaleNormal="87" workbookViewId="0">
      <selection activeCell="L63" sqref="L63"/>
    </sheetView>
  </sheetViews>
  <sheetFormatPr defaultColWidth="9.140625" defaultRowHeight="15" x14ac:dyDescent="0.25"/>
  <cols>
    <col min="1" max="1" width="72.42578125" style="196" customWidth="1"/>
    <col min="2" max="2" width="11" style="196" customWidth="1"/>
    <col min="3" max="3" width="16.7109375" style="196" bestFit="1" customWidth="1"/>
    <col min="4" max="4" width="178" style="196" bestFit="1" customWidth="1"/>
    <col min="5" max="5" width="33.5703125" style="196" customWidth="1"/>
    <col min="6" max="6" width="43" style="196" bestFit="1" customWidth="1"/>
    <col min="7" max="16384" width="9.140625" style="196"/>
  </cols>
  <sheetData>
    <row r="1" spans="1:6" ht="15.75" thickTop="1" x14ac:dyDescent="0.25">
      <c r="A1" s="177" t="s">
        <v>219</v>
      </c>
      <c r="B1" s="178"/>
      <c r="C1" s="178"/>
      <c r="D1" s="176"/>
      <c r="E1" s="176"/>
      <c r="F1" s="175"/>
    </row>
    <row r="2" spans="1:6" x14ac:dyDescent="0.25">
      <c r="A2" s="174"/>
      <c r="B2" s="173"/>
      <c r="C2" s="173"/>
      <c r="D2" s="173"/>
      <c r="E2" s="173"/>
      <c r="F2" s="172"/>
    </row>
    <row r="3" spans="1:6" ht="15.75" thickBot="1" x14ac:dyDescent="0.3">
      <c r="A3" s="171" t="s">
        <v>218</v>
      </c>
      <c r="B3" s="170"/>
      <c r="C3" s="170"/>
      <c r="D3" s="170" t="s">
        <v>217</v>
      </c>
      <c r="E3" s="170" t="s">
        <v>216</v>
      </c>
      <c r="F3" s="169" t="s">
        <v>215</v>
      </c>
    </row>
    <row r="4" spans="1:6" ht="15.75" thickTop="1" x14ac:dyDescent="0.25">
      <c r="A4" s="168"/>
      <c r="B4" s="180" t="s">
        <v>221</v>
      </c>
      <c r="C4" s="167"/>
      <c r="D4" s="167"/>
      <c r="E4" s="167"/>
      <c r="F4" s="166"/>
    </row>
    <row r="5" spans="1:6" x14ac:dyDescent="0.25">
      <c r="A5" s="161" t="s">
        <v>214</v>
      </c>
      <c r="B5" s="179" t="s">
        <v>220</v>
      </c>
      <c r="C5" s="227">
        <f>'Summary (2021-6-12)'!H166+'Summary (2021-6-12)'!R166</f>
        <v>78720968.022316128</v>
      </c>
      <c r="D5" s="160" t="s">
        <v>213</v>
      </c>
      <c r="E5" s="54" t="s">
        <v>212</v>
      </c>
      <c r="F5" s="165" t="s">
        <v>201</v>
      </c>
    </row>
    <row r="6" spans="1:6" x14ac:dyDescent="0.25">
      <c r="A6" s="162"/>
      <c r="B6" s="180" t="s">
        <v>221</v>
      </c>
      <c r="C6" s="228">
        <f>'Summary (2021-6-12)'!J166</f>
        <v>1993080.7436101246</v>
      </c>
      <c r="D6" s="160" t="s">
        <v>211</v>
      </c>
      <c r="E6" s="54"/>
      <c r="F6" s="156"/>
    </row>
    <row r="7" spans="1:6" x14ac:dyDescent="0.25">
      <c r="A7" s="161"/>
      <c r="B7" s="179"/>
      <c r="C7" s="189"/>
      <c r="D7" s="164" t="s">
        <v>194</v>
      </c>
      <c r="E7" s="54"/>
      <c r="F7" s="156"/>
    </row>
    <row r="8" spans="1:6" x14ac:dyDescent="0.25">
      <c r="A8" s="161"/>
      <c r="B8" s="179"/>
      <c r="C8" s="189"/>
      <c r="D8" s="164"/>
      <c r="E8" s="54"/>
      <c r="F8" s="156"/>
    </row>
    <row r="9" spans="1:6" x14ac:dyDescent="0.25">
      <c r="A9" s="161" t="s">
        <v>210</v>
      </c>
      <c r="B9" s="179"/>
      <c r="C9" s="229">
        <f>'Summary (2021-6-12)'!K166</f>
        <v>6362932.1846790621</v>
      </c>
      <c r="D9" s="160" t="s">
        <v>209</v>
      </c>
      <c r="E9" s="54" t="s">
        <v>208</v>
      </c>
      <c r="F9" s="163" t="s">
        <v>207</v>
      </c>
    </row>
    <row r="10" spans="1:6" x14ac:dyDescent="0.25">
      <c r="A10" s="162"/>
      <c r="B10" s="180"/>
      <c r="C10" s="191"/>
      <c r="D10" s="160" t="s">
        <v>206</v>
      </c>
      <c r="E10" s="54"/>
      <c r="F10" s="156"/>
    </row>
    <row r="11" spans="1:6" x14ac:dyDescent="0.25">
      <c r="A11" s="162"/>
      <c r="B11" s="180"/>
      <c r="C11" s="191"/>
      <c r="D11" s="164" t="s">
        <v>205</v>
      </c>
      <c r="E11" s="54"/>
      <c r="F11" s="156"/>
    </row>
    <row r="12" spans="1:6" x14ac:dyDescent="0.25">
      <c r="A12" s="162"/>
      <c r="B12" s="180"/>
      <c r="C12" s="191"/>
      <c r="D12" s="54"/>
      <c r="E12" s="54"/>
      <c r="F12" s="156"/>
    </row>
    <row r="13" spans="1:6" x14ac:dyDescent="0.25">
      <c r="A13" s="161" t="s">
        <v>204</v>
      </c>
      <c r="B13" s="179"/>
      <c r="C13" s="230">
        <f>'Summary (2021-6-12)'!L166</f>
        <v>145098370.00721672</v>
      </c>
      <c r="D13" s="164" t="s">
        <v>203</v>
      </c>
      <c r="E13" s="54" t="s">
        <v>202</v>
      </c>
      <c r="F13" s="156" t="s">
        <v>201</v>
      </c>
    </row>
    <row r="14" spans="1:6" x14ac:dyDescent="0.25">
      <c r="A14" s="162"/>
      <c r="B14" s="180"/>
      <c r="C14" s="191"/>
      <c r="D14" s="164" t="s">
        <v>200</v>
      </c>
      <c r="E14" s="54"/>
      <c r="F14" s="156"/>
    </row>
    <row r="15" spans="1:6" x14ac:dyDescent="0.25">
      <c r="A15" s="162"/>
      <c r="B15" s="180"/>
      <c r="C15" s="191"/>
      <c r="D15" s="164" t="s">
        <v>199</v>
      </c>
      <c r="E15" s="54"/>
      <c r="F15" s="156"/>
    </row>
    <row r="16" spans="1:6" x14ac:dyDescent="0.25">
      <c r="A16" s="161"/>
      <c r="B16" s="179"/>
      <c r="C16" s="189"/>
      <c r="D16" s="54"/>
      <c r="E16" s="54"/>
      <c r="F16" s="156"/>
    </row>
    <row r="17" spans="1:6" x14ac:dyDescent="0.25">
      <c r="A17" s="161" t="s">
        <v>198</v>
      </c>
      <c r="B17" s="179"/>
      <c r="C17" s="231">
        <f>'Summary (2021-6-12)'!N166</f>
        <v>2633657.688314952</v>
      </c>
      <c r="D17" s="160" t="s">
        <v>197</v>
      </c>
      <c r="E17" s="54" t="s">
        <v>196</v>
      </c>
      <c r="F17" s="156" t="s">
        <v>195</v>
      </c>
    </row>
    <row r="18" spans="1:6" x14ac:dyDescent="0.25">
      <c r="A18" s="161"/>
      <c r="B18" s="179"/>
      <c r="C18" s="189"/>
      <c r="D18" s="164" t="s">
        <v>194</v>
      </c>
      <c r="E18" s="54"/>
      <c r="F18" s="156"/>
    </row>
    <row r="19" spans="1:6" x14ac:dyDescent="0.25">
      <c r="A19" s="162"/>
      <c r="B19" s="180"/>
      <c r="C19" s="191"/>
      <c r="D19" s="160" t="s">
        <v>193</v>
      </c>
      <c r="E19" s="54"/>
      <c r="F19" s="156"/>
    </row>
    <row r="20" spans="1:6" x14ac:dyDescent="0.25">
      <c r="A20" s="162"/>
      <c r="B20" s="180"/>
      <c r="C20" s="191"/>
      <c r="D20" s="160"/>
      <c r="E20" s="54"/>
      <c r="F20" s="156"/>
    </row>
    <row r="21" spans="1:6" x14ac:dyDescent="0.25">
      <c r="A21" s="161" t="s">
        <v>192</v>
      </c>
      <c r="B21" s="179"/>
      <c r="C21" s="241">
        <f>'Summary (2021-6-12)'!M166</f>
        <v>2290621.668495547</v>
      </c>
      <c r="D21" s="160" t="s">
        <v>191</v>
      </c>
      <c r="E21" s="54" t="s">
        <v>190</v>
      </c>
      <c r="F21" s="156" t="s">
        <v>189</v>
      </c>
    </row>
    <row r="22" spans="1:6" x14ac:dyDescent="0.25">
      <c r="A22" s="162"/>
      <c r="B22" s="180"/>
      <c r="C22" s="191"/>
      <c r="D22" s="160" t="s">
        <v>188</v>
      </c>
      <c r="E22" s="54"/>
      <c r="F22" s="156"/>
    </row>
    <row r="23" spans="1:6" x14ac:dyDescent="0.25">
      <c r="A23" s="162"/>
      <c r="B23" s="180"/>
      <c r="C23" s="191"/>
      <c r="D23" s="54"/>
      <c r="E23" s="54"/>
      <c r="F23" s="156"/>
    </row>
    <row r="24" spans="1:6" x14ac:dyDescent="0.25">
      <c r="A24" s="161" t="s">
        <v>187</v>
      </c>
      <c r="B24" s="179"/>
      <c r="C24" s="232">
        <f>'Summary (2021-6-12)'!O166+'Summary (2021-6-12)'!I166</f>
        <v>1127517.3760135861</v>
      </c>
      <c r="D24" s="160" t="s">
        <v>186</v>
      </c>
      <c r="E24" s="54" t="s">
        <v>185</v>
      </c>
      <c r="F24" s="196" t="s">
        <v>184</v>
      </c>
    </row>
    <row r="25" spans="1:6" x14ac:dyDescent="0.25">
      <c r="A25" s="162"/>
      <c r="B25" s="180"/>
      <c r="C25" s="191"/>
      <c r="D25" s="160" t="s">
        <v>183</v>
      </c>
      <c r="E25" s="54"/>
      <c r="F25" s="156"/>
    </row>
    <row r="26" spans="1:6" x14ac:dyDescent="0.25">
      <c r="A26" s="162"/>
      <c r="B26" s="180"/>
      <c r="C26" s="191"/>
      <c r="D26" s="54"/>
      <c r="E26" s="54"/>
      <c r="F26" s="156"/>
    </row>
    <row r="27" spans="1:6" x14ac:dyDescent="0.25">
      <c r="A27" s="161" t="s">
        <v>182</v>
      </c>
      <c r="B27" s="179"/>
      <c r="C27" s="233">
        <f>'Summary (2021-6-12)'!P166+'Summary (2021-6-12)'!Q166+'Summary (2021-6-12)'!S166</f>
        <v>506952.27277758881</v>
      </c>
      <c r="D27" s="160" t="s">
        <v>181</v>
      </c>
      <c r="E27" s="54" t="s">
        <v>180</v>
      </c>
      <c r="F27" s="163" t="s">
        <v>179</v>
      </c>
    </row>
    <row r="28" spans="1:6" x14ac:dyDescent="0.25">
      <c r="A28" s="162"/>
      <c r="B28" s="180"/>
      <c r="C28" s="181"/>
      <c r="D28" s="160" t="s">
        <v>178</v>
      </c>
      <c r="E28" s="54"/>
      <c r="F28" s="156"/>
    </row>
    <row r="29" spans="1:6" x14ac:dyDescent="0.25">
      <c r="A29" s="162"/>
      <c r="B29" s="180"/>
      <c r="C29" s="181"/>
      <c r="D29" s="160" t="s">
        <v>177</v>
      </c>
      <c r="E29" s="54"/>
      <c r="F29" s="156"/>
    </row>
    <row r="30" spans="1:6" x14ac:dyDescent="0.25">
      <c r="A30" s="162"/>
      <c r="B30" s="180"/>
      <c r="C30" s="181"/>
      <c r="D30" s="54"/>
      <c r="E30" s="54"/>
      <c r="F30" s="156"/>
    </row>
    <row r="31" spans="1:6" x14ac:dyDescent="0.25">
      <c r="A31" s="161" t="s">
        <v>176</v>
      </c>
      <c r="B31" s="179"/>
      <c r="C31" s="240">
        <f>'Summary (2021-6-12)'!G166</f>
        <v>32921769.107504904</v>
      </c>
      <c r="D31" s="160" t="s">
        <v>175</v>
      </c>
      <c r="E31" s="54" t="s">
        <v>174</v>
      </c>
      <c r="F31" s="156" t="s">
        <v>173</v>
      </c>
    </row>
    <row r="32" spans="1:6" x14ac:dyDescent="0.25">
      <c r="A32" s="158"/>
      <c r="B32" s="54"/>
      <c r="C32" s="182"/>
      <c r="D32" s="160" t="s">
        <v>172</v>
      </c>
      <c r="E32" s="54"/>
      <c r="F32" s="156"/>
    </row>
    <row r="33" spans="1:6" x14ac:dyDescent="0.25">
      <c r="A33" s="158"/>
      <c r="B33" s="54"/>
      <c r="C33" s="182"/>
      <c r="D33" s="160" t="s">
        <v>171</v>
      </c>
      <c r="E33" s="54"/>
      <c r="F33" s="156"/>
    </row>
    <row r="34" spans="1:6" x14ac:dyDescent="0.25">
      <c r="A34" s="158"/>
      <c r="B34" s="54"/>
      <c r="C34" s="182"/>
      <c r="D34" s="160" t="s">
        <v>170</v>
      </c>
      <c r="E34" s="54"/>
      <c r="F34" s="156"/>
    </row>
    <row r="35" spans="1:6" x14ac:dyDescent="0.25">
      <c r="A35" s="158"/>
      <c r="B35" s="54"/>
      <c r="C35" s="182"/>
      <c r="D35" s="157" t="s">
        <v>169</v>
      </c>
      <c r="E35" s="54"/>
      <c r="F35" s="156"/>
    </row>
    <row r="36" spans="1:6" x14ac:dyDescent="0.25">
      <c r="A36" s="158"/>
      <c r="B36" s="184" t="s">
        <v>111</v>
      </c>
      <c r="C36" s="185">
        <f>SUM(C5:C35)</f>
        <v>271655869.07092857</v>
      </c>
      <c r="D36" s="159" t="s">
        <v>168</v>
      </c>
      <c r="E36" s="54"/>
      <c r="F36" s="156"/>
    </row>
    <row r="37" spans="1:6" x14ac:dyDescent="0.25">
      <c r="A37" s="158"/>
      <c r="B37" s="54"/>
      <c r="C37" s="183">
        <f>+C36-'Summary (2021-6-12)'!X166</f>
        <v>0</v>
      </c>
      <c r="D37" s="159" t="s">
        <v>167</v>
      </c>
      <c r="E37" s="54"/>
      <c r="F37" s="156"/>
    </row>
    <row r="38" spans="1:6" x14ac:dyDescent="0.25">
      <c r="A38" s="158"/>
      <c r="B38" s="54"/>
      <c r="C38" s="54"/>
      <c r="D38" s="159" t="s">
        <v>166</v>
      </c>
      <c r="E38" s="54"/>
      <c r="F38" s="156"/>
    </row>
    <row r="39" spans="1:6" x14ac:dyDescent="0.25">
      <c r="A39" s="158"/>
      <c r="B39" s="54"/>
      <c r="C39" s="54"/>
      <c r="D39" s="157" t="s">
        <v>165</v>
      </c>
      <c r="E39" s="54"/>
      <c r="F39" s="156"/>
    </row>
    <row r="40" spans="1:6" ht="15.75" thickBot="1" x14ac:dyDescent="0.3">
      <c r="A40" s="155"/>
      <c r="B40" s="153"/>
      <c r="C40" s="153"/>
      <c r="D40" s="154" t="s">
        <v>164</v>
      </c>
      <c r="E40" s="153"/>
      <c r="F40" s="152"/>
    </row>
    <row r="41" spans="1:6" ht="15.75" thickTop="1" x14ac:dyDescent="0.25"/>
    <row r="42" spans="1:6" x14ac:dyDescent="0.25">
      <c r="A42" s="77"/>
      <c r="B42" s="77"/>
      <c r="C42" s="77"/>
    </row>
  </sheetData>
  <pageMargins left="0.7" right="0.7" top="0.75" bottom="0.75" header="0.3" footer="0.3"/>
  <pageSetup paperSize="8" scale="5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72"/>
  <sheetViews>
    <sheetView showGridLines="0" topLeftCell="A39" zoomScaleNormal="100" workbookViewId="0">
      <selection activeCell="L63" sqref="L63"/>
    </sheetView>
  </sheetViews>
  <sheetFormatPr defaultColWidth="9" defaultRowHeight="15" outlineLevelRow="1" x14ac:dyDescent="0.25"/>
  <cols>
    <col min="1" max="1" width="1" style="196" customWidth="1"/>
    <col min="2" max="2" width="16.7109375" style="196" customWidth="1"/>
    <col min="3" max="4" width="15" style="196" customWidth="1"/>
    <col min="5" max="5" width="1.140625" style="196" customWidth="1"/>
    <col min="6" max="12" width="14.140625" style="196" customWidth="1"/>
    <col min="13" max="22" width="13.85546875" style="196" customWidth="1"/>
    <col min="23" max="23" width="14.140625" style="196" bestFit="1" customWidth="1"/>
    <col min="24" max="24" width="15.5703125" style="196" bestFit="1" customWidth="1"/>
    <col min="25" max="25" width="14" style="196" bestFit="1" customWidth="1"/>
    <col min="26" max="16384" width="9" style="196"/>
  </cols>
  <sheetData>
    <row r="1" spans="2:18" ht="15.75" thickBot="1" x14ac:dyDescent="0.3"/>
    <row r="2" spans="2:18" ht="15.75" thickBot="1" x14ac:dyDescent="0.3">
      <c r="B2" s="332" t="s">
        <v>9</v>
      </c>
      <c r="C2" s="333"/>
      <c r="F2" s="25" t="s">
        <v>94</v>
      </c>
      <c r="G2" s="25" t="s">
        <v>95</v>
      </c>
      <c r="H2" s="25" t="s">
        <v>96</v>
      </c>
      <c r="I2" s="25" t="s">
        <v>97</v>
      </c>
      <c r="J2" s="25" t="s">
        <v>98</v>
      </c>
    </row>
    <row r="3" spans="2:18" ht="21.75" thickBot="1" x14ac:dyDescent="0.3">
      <c r="B3" s="203" t="s">
        <v>75</v>
      </c>
      <c r="C3" s="123" t="s">
        <v>76</v>
      </c>
      <c r="D3" s="23" t="s">
        <v>77</v>
      </c>
      <c r="E3" s="23"/>
      <c r="F3" s="23" t="s">
        <v>78</v>
      </c>
      <c r="G3" s="24" t="s">
        <v>81</v>
      </c>
      <c r="H3" s="24" t="s">
        <v>92</v>
      </c>
      <c r="I3" s="24" t="s">
        <v>91</v>
      </c>
      <c r="J3" s="26" t="s">
        <v>93</v>
      </c>
      <c r="N3" s="128"/>
    </row>
    <row r="4" spans="2:18" ht="15.75" hidden="1" outlineLevel="1" thickBot="1" x14ac:dyDescent="0.3">
      <c r="B4" s="134">
        <v>2005</v>
      </c>
      <c r="C4" s="27">
        <v>3967418646.04</v>
      </c>
      <c r="D4" s="27">
        <v>323348200.51999998</v>
      </c>
      <c r="E4" s="27"/>
      <c r="F4" s="27">
        <f t="shared" ref="F4:F12" si="0">G66</f>
        <v>0</v>
      </c>
      <c r="G4" s="28">
        <v>25396508.280000001</v>
      </c>
      <c r="H4" s="27">
        <f t="shared" ref="H4:H20" si="1">SUM(I66:V66)</f>
        <v>36826871.18999999</v>
      </c>
      <c r="I4" s="29">
        <f t="shared" ref="I4:I20" si="2">G4+H4</f>
        <v>62223379.469999991</v>
      </c>
      <c r="J4" s="29">
        <f t="shared" ref="J4:J20" si="3">+F4+I4</f>
        <v>62223379.469999991</v>
      </c>
      <c r="K4" s="96"/>
      <c r="N4" s="128"/>
    </row>
    <row r="5" spans="2:18" ht="15.75" hidden="1" outlineLevel="1" thickBot="1" x14ac:dyDescent="0.3">
      <c r="B5" s="134">
        <v>2006</v>
      </c>
      <c r="C5" s="27">
        <v>4366686874.21</v>
      </c>
      <c r="D5" s="27">
        <v>364084420.60000002</v>
      </c>
      <c r="E5" s="27"/>
      <c r="F5" s="27">
        <f t="shared" si="0"/>
        <v>0</v>
      </c>
      <c r="G5" s="28">
        <v>26747347.530000001</v>
      </c>
      <c r="H5" s="27">
        <f t="shared" si="1"/>
        <v>40396607.220000006</v>
      </c>
      <c r="I5" s="29">
        <f t="shared" si="2"/>
        <v>67143954.75</v>
      </c>
      <c r="J5" s="29">
        <f t="shared" si="3"/>
        <v>67143954.75</v>
      </c>
      <c r="K5" s="96"/>
      <c r="N5" s="128"/>
    </row>
    <row r="6" spans="2:18" ht="15.75" hidden="1" outlineLevel="1" thickBot="1" x14ac:dyDescent="0.3">
      <c r="B6" s="134">
        <v>2007</v>
      </c>
      <c r="C6" s="27">
        <v>4352968473.7200003</v>
      </c>
      <c r="D6" s="27">
        <v>367531498.35000002</v>
      </c>
      <c r="E6" s="27"/>
      <c r="F6" s="27">
        <f t="shared" si="0"/>
        <v>0</v>
      </c>
      <c r="G6" s="28">
        <v>35509848.439999998</v>
      </c>
      <c r="H6" s="27">
        <f t="shared" si="1"/>
        <v>36330909.639999993</v>
      </c>
      <c r="I6" s="29">
        <f t="shared" si="2"/>
        <v>71840758.079999983</v>
      </c>
      <c r="J6" s="29">
        <f t="shared" si="3"/>
        <v>71840758.079999983</v>
      </c>
      <c r="K6" s="96"/>
      <c r="N6" s="128"/>
    </row>
    <row r="7" spans="2:18" ht="15.75" hidden="1" outlineLevel="1" thickBot="1" x14ac:dyDescent="0.3">
      <c r="B7" s="134">
        <v>2008</v>
      </c>
      <c r="C7" s="27">
        <v>4445573703.5799999</v>
      </c>
      <c r="D7" s="27">
        <v>375232895.51999998</v>
      </c>
      <c r="E7" s="27"/>
      <c r="F7" s="27">
        <f t="shared" si="0"/>
        <v>0</v>
      </c>
      <c r="G7" s="28">
        <v>38589682.640000001</v>
      </c>
      <c r="H7" s="27">
        <f t="shared" si="1"/>
        <v>30072699.980000004</v>
      </c>
      <c r="I7" s="29">
        <f t="shared" si="2"/>
        <v>68662382.620000005</v>
      </c>
      <c r="J7" s="29">
        <f t="shared" si="3"/>
        <v>68662382.620000005</v>
      </c>
      <c r="K7" s="96"/>
      <c r="N7" s="128"/>
    </row>
    <row r="8" spans="2:18" ht="15.75" hidden="1" outlineLevel="1" thickBot="1" x14ac:dyDescent="0.3">
      <c r="B8" s="134">
        <v>2009</v>
      </c>
      <c r="C8" s="27">
        <v>4613581411.3599997</v>
      </c>
      <c r="D8" s="27">
        <v>387899089.68000001</v>
      </c>
      <c r="E8" s="27"/>
      <c r="F8" s="27">
        <f t="shared" si="0"/>
        <v>0</v>
      </c>
      <c r="G8" s="28">
        <v>37285465.100000001</v>
      </c>
      <c r="H8" s="27">
        <f t="shared" si="1"/>
        <v>28099221.779999997</v>
      </c>
      <c r="I8" s="29">
        <f t="shared" si="2"/>
        <v>65384686.879999995</v>
      </c>
      <c r="J8" s="29">
        <f t="shared" si="3"/>
        <v>65384686.879999995</v>
      </c>
      <c r="K8" s="96"/>
      <c r="N8" s="128"/>
    </row>
    <row r="9" spans="2:18" ht="15.75" hidden="1" outlineLevel="1" thickBot="1" x14ac:dyDescent="0.3">
      <c r="B9" s="134">
        <v>2010</v>
      </c>
      <c r="C9" s="27">
        <v>4723013429.3599997</v>
      </c>
      <c r="D9" s="27">
        <v>407073950.49000001</v>
      </c>
      <c r="E9" s="27"/>
      <c r="F9" s="27">
        <f t="shared" si="0"/>
        <v>0</v>
      </c>
      <c r="G9" s="28">
        <v>35239278.869999997</v>
      </c>
      <c r="H9" s="27">
        <f t="shared" si="1"/>
        <v>27694390.910000004</v>
      </c>
      <c r="I9" s="29">
        <f t="shared" si="2"/>
        <v>62933669.780000001</v>
      </c>
      <c r="J9" s="29">
        <f t="shared" si="3"/>
        <v>62933669.780000001</v>
      </c>
      <c r="K9" s="96"/>
      <c r="N9" s="128"/>
    </row>
    <row r="10" spans="2:18" ht="15.75" hidden="1" outlineLevel="1" thickBot="1" x14ac:dyDescent="0.3">
      <c r="B10" s="134">
        <v>2011</v>
      </c>
      <c r="C10" s="27">
        <v>4988007891.8699999</v>
      </c>
      <c r="D10" s="27">
        <v>434415889.69</v>
      </c>
      <c r="E10" s="27"/>
      <c r="F10" s="27">
        <f t="shared" si="0"/>
        <v>0</v>
      </c>
      <c r="G10" s="28">
        <v>31704955.48</v>
      </c>
      <c r="H10" s="27">
        <f t="shared" si="1"/>
        <v>31319813.07</v>
      </c>
      <c r="I10" s="29">
        <f t="shared" si="2"/>
        <v>63024768.549999997</v>
      </c>
      <c r="J10" s="29">
        <f t="shared" si="3"/>
        <v>63024768.549999997</v>
      </c>
      <c r="K10" s="96"/>
      <c r="N10" s="128"/>
    </row>
    <row r="11" spans="2:18" ht="15.75" collapsed="1" thickBot="1" x14ac:dyDescent="0.3">
      <c r="B11" s="134">
        <v>2012</v>
      </c>
      <c r="C11" s="27">
        <v>5113108047.9899998</v>
      </c>
      <c r="D11" s="27">
        <f>F73</f>
        <v>448653907.09000003</v>
      </c>
      <c r="E11" s="27"/>
      <c r="F11" s="27">
        <f t="shared" si="0"/>
        <v>0</v>
      </c>
      <c r="G11" s="28">
        <f t="shared" ref="G11:G20" si="4">H73</f>
        <v>29423378.050000001</v>
      </c>
      <c r="H11" s="27">
        <f t="shared" si="1"/>
        <v>32183590.219999999</v>
      </c>
      <c r="I11" s="29">
        <f t="shared" si="2"/>
        <v>61606968.269999996</v>
      </c>
      <c r="J11" s="29">
        <f t="shared" si="3"/>
        <v>61606968.269999996</v>
      </c>
      <c r="L11" s="128"/>
      <c r="O11" s="96"/>
    </row>
    <row r="12" spans="2:18" ht="15.75" thickBot="1" x14ac:dyDescent="0.3">
      <c r="B12" s="134">
        <v>2013</v>
      </c>
      <c r="C12" s="27">
        <v>5111331229.8400002</v>
      </c>
      <c r="D12" s="27">
        <f t="shared" ref="D12:D20" si="5">F74</f>
        <v>442092705.80000001</v>
      </c>
      <c r="E12" s="27"/>
      <c r="F12" s="27">
        <f t="shared" si="0"/>
        <v>7444824.2800000003</v>
      </c>
      <c r="G12" s="28">
        <f t="shared" si="4"/>
        <v>24588062.73</v>
      </c>
      <c r="H12" s="27">
        <f t="shared" si="1"/>
        <v>36750957.960000001</v>
      </c>
      <c r="I12" s="29">
        <f t="shared" si="2"/>
        <v>61339020.689999998</v>
      </c>
      <c r="J12" s="29">
        <f t="shared" si="3"/>
        <v>68783844.969999999</v>
      </c>
      <c r="L12" s="128"/>
    </row>
    <row r="13" spans="2:18" ht="15.75" thickBot="1" x14ac:dyDescent="0.3">
      <c r="B13" s="134">
        <v>2014</v>
      </c>
      <c r="C13" s="27">
        <f t="shared" ref="C13:C20" si="6">D75</f>
        <v>5177345265.75</v>
      </c>
      <c r="D13" s="27">
        <f t="shared" si="5"/>
        <v>431416086.17000002</v>
      </c>
      <c r="E13" s="27"/>
      <c r="F13" s="27">
        <v>11102225.42</v>
      </c>
      <c r="G13" s="28">
        <f t="shared" si="4"/>
        <v>24743868.59</v>
      </c>
      <c r="H13" s="27">
        <f t="shared" si="1"/>
        <v>48073534.949999996</v>
      </c>
      <c r="I13" s="29">
        <f t="shared" si="2"/>
        <v>72817403.539999992</v>
      </c>
      <c r="J13" s="29">
        <f t="shared" si="3"/>
        <v>83919628.959999993</v>
      </c>
      <c r="L13" s="126" t="s">
        <v>94</v>
      </c>
      <c r="M13" s="334" t="s">
        <v>157</v>
      </c>
      <c r="N13" s="335"/>
      <c r="O13" s="335"/>
      <c r="P13" s="335"/>
      <c r="Q13" s="335"/>
      <c r="R13" s="336"/>
    </row>
    <row r="14" spans="2:18" ht="15.75" thickBot="1" x14ac:dyDescent="0.3">
      <c r="B14" s="134">
        <v>2015</v>
      </c>
      <c r="C14" s="27">
        <f t="shared" si="6"/>
        <v>5402537959.9499998</v>
      </c>
      <c r="D14" s="27">
        <f t="shared" si="5"/>
        <v>446232358.93000001</v>
      </c>
      <c r="E14" s="27"/>
      <c r="F14" s="27">
        <v>12603982.529999999</v>
      </c>
      <c r="G14" s="28">
        <f t="shared" si="4"/>
        <v>25889559.420000002</v>
      </c>
      <c r="H14" s="27">
        <f t="shared" si="1"/>
        <v>50872668.829999998</v>
      </c>
      <c r="I14" s="29">
        <f t="shared" si="2"/>
        <v>76762228.25</v>
      </c>
      <c r="J14" s="29">
        <f t="shared" si="3"/>
        <v>89366210.780000001</v>
      </c>
      <c r="L14" s="126" t="s">
        <v>95</v>
      </c>
      <c r="M14" s="334" t="s">
        <v>158</v>
      </c>
      <c r="N14" s="335"/>
      <c r="O14" s="335"/>
      <c r="P14" s="335"/>
      <c r="Q14" s="335"/>
      <c r="R14" s="336"/>
    </row>
    <row r="15" spans="2:18" ht="15.75" thickBot="1" x14ac:dyDescent="0.3">
      <c r="B15" s="134">
        <v>2016</v>
      </c>
      <c r="C15" s="27">
        <f t="shared" si="6"/>
        <v>5514933568.9899998</v>
      </c>
      <c r="D15" s="27">
        <f t="shared" si="5"/>
        <v>459405709.23000002</v>
      </c>
      <c r="E15" s="27"/>
      <c r="F15" s="27">
        <v>12624702.859999999</v>
      </c>
      <c r="G15" s="28">
        <f t="shared" si="4"/>
        <v>25141504.650000002</v>
      </c>
      <c r="H15" s="27">
        <f t="shared" si="1"/>
        <v>51967115.710000016</v>
      </c>
      <c r="I15" s="29">
        <f t="shared" si="2"/>
        <v>77108620.360000014</v>
      </c>
      <c r="J15" s="29">
        <f t="shared" si="3"/>
        <v>89733323.220000014</v>
      </c>
      <c r="L15" s="126" t="s">
        <v>96</v>
      </c>
      <c r="M15" s="334" t="s">
        <v>159</v>
      </c>
      <c r="N15" s="335"/>
      <c r="O15" s="335"/>
      <c r="P15" s="335"/>
      <c r="Q15" s="335"/>
      <c r="R15" s="336"/>
    </row>
    <row r="16" spans="2:18" ht="15.75" thickBot="1" x14ac:dyDescent="0.3">
      <c r="B16" s="134">
        <v>2017</v>
      </c>
      <c r="C16" s="27">
        <f t="shared" si="6"/>
        <v>5468326234.6000004</v>
      </c>
      <c r="D16" s="27">
        <f t="shared" si="5"/>
        <v>444971488.89999998</v>
      </c>
      <c r="E16" s="27"/>
      <c r="F16" s="27">
        <v>11221333.98</v>
      </c>
      <c r="G16" s="28">
        <f t="shared" si="4"/>
        <v>22857874.880000003</v>
      </c>
      <c r="H16" s="27">
        <f t="shared" si="1"/>
        <v>58554164.849999994</v>
      </c>
      <c r="I16" s="29">
        <f t="shared" si="2"/>
        <v>81412039.729999989</v>
      </c>
      <c r="J16" s="29">
        <f t="shared" si="3"/>
        <v>92633373.709999993</v>
      </c>
    </row>
    <row r="17" spans="2:22" ht="15.75" thickBot="1" x14ac:dyDescent="0.3">
      <c r="B17" s="134">
        <v>2018</v>
      </c>
      <c r="C17" s="27">
        <f t="shared" si="6"/>
        <v>5551893797.1499996</v>
      </c>
      <c r="D17" s="27">
        <f t="shared" si="5"/>
        <v>445501101.96999997</v>
      </c>
      <c r="E17" s="27"/>
      <c r="F17" s="27">
        <v>11761352.43</v>
      </c>
      <c r="G17" s="28">
        <f t="shared" si="4"/>
        <v>22650779.199999999</v>
      </c>
      <c r="H17" s="27">
        <f t="shared" si="1"/>
        <v>58939376.240000002</v>
      </c>
      <c r="I17" s="29">
        <f t="shared" si="2"/>
        <v>81590155.439999998</v>
      </c>
      <c r="J17" s="29">
        <f t="shared" si="3"/>
        <v>93351507.870000005</v>
      </c>
    </row>
    <row r="18" spans="2:22" ht="15.75" thickBot="1" x14ac:dyDescent="0.3">
      <c r="B18" s="134">
        <v>2019</v>
      </c>
      <c r="C18" s="27">
        <f t="shared" si="6"/>
        <v>5851909080.8599997</v>
      </c>
      <c r="D18" s="27">
        <f t="shared" si="5"/>
        <v>459129221.54000008</v>
      </c>
      <c r="E18" s="27"/>
      <c r="F18" s="27">
        <v>12795304.5</v>
      </c>
      <c r="G18" s="28">
        <f t="shared" si="4"/>
        <v>22619373.930000003</v>
      </c>
      <c r="H18" s="27">
        <f t="shared" si="1"/>
        <v>53732532.600000009</v>
      </c>
      <c r="I18" s="29">
        <f t="shared" si="2"/>
        <v>76351906.530000016</v>
      </c>
      <c r="J18" s="29">
        <f t="shared" si="3"/>
        <v>89147211.030000016</v>
      </c>
      <c r="O18" s="96"/>
    </row>
    <row r="19" spans="2:22" ht="15.75" thickBot="1" x14ac:dyDescent="0.3">
      <c r="B19" s="134">
        <v>2020</v>
      </c>
      <c r="C19" s="27">
        <f t="shared" si="6"/>
        <v>4460847923.75</v>
      </c>
      <c r="D19" s="27">
        <f t="shared" si="5"/>
        <v>339589388.06900007</v>
      </c>
      <c r="E19" s="27"/>
      <c r="F19" s="27">
        <f>G81</f>
        <v>8680347.8100000005</v>
      </c>
      <c r="G19" s="28">
        <f t="shared" si="4"/>
        <v>15328608.969999999</v>
      </c>
      <c r="H19" s="27">
        <f t="shared" si="1"/>
        <v>42715793.620000005</v>
      </c>
      <c r="I19" s="29">
        <f t="shared" si="2"/>
        <v>58044402.590000004</v>
      </c>
      <c r="J19" s="29">
        <f t="shared" si="3"/>
        <v>66724750.400000006</v>
      </c>
      <c r="O19" s="96"/>
    </row>
    <row r="20" spans="2:22" ht="15.75" thickBot="1" x14ac:dyDescent="0.3">
      <c r="B20" s="134">
        <v>2021</v>
      </c>
      <c r="C20" s="27">
        <f t="shared" si="6"/>
        <v>1962426836.3299999</v>
      </c>
      <c r="D20" s="27">
        <f t="shared" si="5"/>
        <v>158206824.42000002</v>
      </c>
      <c r="E20" s="27"/>
      <c r="F20" s="125">
        <f>G82</f>
        <v>2783385.02</v>
      </c>
      <c r="G20" s="28">
        <f t="shared" si="4"/>
        <v>802276.54</v>
      </c>
      <c r="H20" s="27">
        <f t="shared" si="1"/>
        <v>11493913.43</v>
      </c>
      <c r="I20" s="29">
        <f t="shared" si="2"/>
        <v>12296189.969999999</v>
      </c>
      <c r="J20" s="29">
        <f t="shared" si="3"/>
        <v>15079574.989999998</v>
      </c>
    </row>
    <row r="21" spans="2:22" ht="15.75" hidden="1" outlineLevel="1" thickBot="1" x14ac:dyDescent="0.3">
      <c r="B21" s="135" t="s">
        <v>246</v>
      </c>
      <c r="C21" s="132">
        <f>SUM(C4:C10)</f>
        <v>31457250430.139999</v>
      </c>
      <c r="D21" s="132">
        <f>SUM(D4:D10)</f>
        <v>2659585944.8499999</v>
      </c>
      <c r="E21" s="131"/>
      <c r="F21" s="132">
        <f>SUM(F4:F10)</f>
        <v>0</v>
      </c>
      <c r="G21" s="132">
        <f>SUM(G4:G10)</f>
        <v>230473086.34</v>
      </c>
      <c r="H21" s="132">
        <f>SUM(H4:H10)</f>
        <v>230740513.78999996</v>
      </c>
      <c r="I21" s="132">
        <f>SUM(I4:I10)</f>
        <v>461213600.12999994</v>
      </c>
      <c r="J21" s="132">
        <f>SUM(J4:J10)</f>
        <v>461213600.12999994</v>
      </c>
    </row>
    <row r="22" spans="2:22" ht="15.75" collapsed="1" thickBot="1" x14ac:dyDescent="0.3">
      <c r="B22" s="135" t="s">
        <v>228</v>
      </c>
      <c r="C22" s="132">
        <f>SUM(C11:C20)</f>
        <v>49614659945.209999</v>
      </c>
      <c r="D22" s="132">
        <f>SUM(D11:D20)</f>
        <v>4075198792.1190004</v>
      </c>
      <c r="E22" s="131"/>
      <c r="F22" s="132">
        <f>SUM(F11:F20)</f>
        <v>91017458.829999998</v>
      </c>
      <c r="G22" s="132">
        <f>SUM(G11:G20)</f>
        <v>214045286.96000001</v>
      </c>
      <c r="H22" s="132">
        <f>SUM(H11:H20)</f>
        <v>445283648.41000003</v>
      </c>
      <c r="I22" s="132">
        <f>SUM(I11:I20)</f>
        <v>659328935.37000012</v>
      </c>
      <c r="J22" s="132">
        <f>SUM(J11:J20)</f>
        <v>750346394.19999993</v>
      </c>
      <c r="N22" s="129"/>
    </row>
    <row r="23" spans="2:22" ht="15.75" thickBot="1" x14ac:dyDescent="0.3">
      <c r="C23" s="141"/>
      <c r="D23" s="141"/>
      <c r="E23" s="141"/>
      <c r="F23" s="141"/>
      <c r="G23" s="141"/>
      <c r="H23" s="141"/>
      <c r="I23" s="141"/>
      <c r="J23" s="141"/>
    </row>
    <row r="24" spans="2:22" ht="15.75" thickBot="1" x14ac:dyDescent="0.3">
      <c r="B24" s="332" t="s">
        <v>155</v>
      </c>
      <c r="C24" s="333"/>
    </row>
    <row r="25" spans="2:22" ht="21.75" thickBot="1" x14ac:dyDescent="0.3">
      <c r="B25" s="203" t="s">
        <v>75</v>
      </c>
      <c r="C25" s="123" t="s">
        <v>76</v>
      </c>
      <c r="D25" s="23" t="s">
        <v>77</v>
      </c>
      <c r="E25" s="23"/>
      <c r="F25" s="23" t="s">
        <v>78</v>
      </c>
      <c r="G25" s="24" t="s">
        <v>81</v>
      </c>
      <c r="H25" s="24" t="s">
        <v>92</v>
      </c>
      <c r="I25" s="24" t="s">
        <v>91</v>
      </c>
      <c r="J25" s="225" t="s">
        <v>253</v>
      </c>
      <c r="K25" s="226" t="s">
        <v>252</v>
      </c>
      <c r="L25" s="225" t="s">
        <v>251</v>
      </c>
      <c r="N25" s="224" t="s">
        <v>78</v>
      </c>
      <c r="O25" s="223" t="s">
        <v>250</v>
      </c>
      <c r="P25" s="222" t="s">
        <v>249</v>
      </c>
      <c r="Q25" s="25" t="s">
        <v>248</v>
      </c>
      <c r="R25" s="25" t="s">
        <v>248</v>
      </c>
      <c r="S25" s="25" t="s">
        <v>248</v>
      </c>
      <c r="T25" s="25" t="s">
        <v>248</v>
      </c>
      <c r="U25" s="25" t="s">
        <v>248</v>
      </c>
      <c r="V25" s="25" t="s">
        <v>247</v>
      </c>
    </row>
    <row r="26" spans="2:22" ht="15.75" hidden="1" outlineLevel="1" thickBot="1" x14ac:dyDescent="0.3">
      <c r="B26" s="134">
        <v>2005</v>
      </c>
      <c r="C26" s="27">
        <f t="shared" ref="C26:D42" si="7">C4</f>
        <v>3967418646.04</v>
      </c>
      <c r="D26" s="27">
        <f t="shared" si="7"/>
        <v>323348200.51999998</v>
      </c>
      <c r="E26" s="27"/>
      <c r="F26" s="27">
        <v>0</v>
      </c>
      <c r="G26" s="28">
        <f t="shared" ref="G26:I32" si="8">+G4/$I4*$J26</f>
        <v>5520058.0571993999</v>
      </c>
      <c r="H26" s="27">
        <f t="shared" si="8"/>
        <v>8004504.587502447</v>
      </c>
      <c r="I26" s="29">
        <f t="shared" si="8"/>
        <v>13524562.644701848</v>
      </c>
      <c r="J26" s="29">
        <v>13524562.644701848</v>
      </c>
      <c r="K26" s="29">
        <v>5662327.5317699993</v>
      </c>
      <c r="L26" s="29">
        <f t="shared" ref="L26:L42" si="9">J26+K26</f>
        <v>19186890.176471848</v>
      </c>
      <c r="M26" s="96"/>
      <c r="N26" s="220">
        <f t="shared" ref="N26:N43" si="10">F26</f>
        <v>0</v>
      </c>
      <c r="O26" s="219">
        <f t="shared" ref="O26:O43" si="11">F26/J26*K26</f>
        <v>0</v>
      </c>
      <c r="P26" s="218">
        <f t="shared" ref="P26:P43" si="12">SUM(N26:O26)</f>
        <v>0</v>
      </c>
      <c r="Q26" s="217" t="e">
        <f t="shared" ref="Q26:Q42" si="13">F26/F4</f>
        <v>#DIV/0!</v>
      </c>
      <c r="R26" s="217">
        <f t="shared" ref="R26:R42" si="14">G26/G4</f>
        <v>0.21735499999999999</v>
      </c>
      <c r="S26" s="217">
        <f t="shared" ref="S26:S42" si="15">H26/H4</f>
        <v>0.21735499999999996</v>
      </c>
      <c r="T26" s="217">
        <f t="shared" ref="T26:T42" si="16">I26/I4</f>
        <v>0.21735499999999999</v>
      </c>
      <c r="U26" s="217">
        <f t="shared" ref="U26:U42" si="17">J26/J4</f>
        <v>0.21735499999999999</v>
      </c>
      <c r="V26" s="217">
        <f t="shared" ref="V26:V42" si="18">K26/J4</f>
        <v>9.0999999999999998E-2</v>
      </c>
    </row>
    <row r="27" spans="2:22" ht="15.75" hidden="1" outlineLevel="1" thickBot="1" x14ac:dyDescent="0.3">
      <c r="B27" s="134">
        <v>2006</v>
      </c>
      <c r="C27" s="27">
        <f t="shared" si="7"/>
        <v>4366686874.21</v>
      </c>
      <c r="D27" s="27">
        <f t="shared" si="7"/>
        <v>364084420.60000002</v>
      </c>
      <c r="E27" s="27"/>
      <c r="F27" s="27">
        <v>0</v>
      </c>
      <c r="G27" s="28">
        <f t="shared" si="8"/>
        <v>5813669.7223831499</v>
      </c>
      <c r="H27" s="27">
        <f t="shared" si="8"/>
        <v>8780404.5623031016</v>
      </c>
      <c r="I27" s="29">
        <f t="shared" si="8"/>
        <v>14594074.284686251</v>
      </c>
      <c r="J27" s="29">
        <v>14594074.284686251</v>
      </c>
      <c r="K27" s="29">
        <v>6110099.8822499998</v>
      </c>
      <c r="L27" s="29">
        <f t="shared" si="9"/>
        <v>20704174.166936249</v>
      </c>
      <c r="M27" s="96"/>
      <c r="N27" s="220">
        <f t="shared" si="10"/>
        <v>0</v>
      </c>
      <c r="O27" s="219">
        <f t="shared" si="11"/>
        <v>0</v>
      </c>
      <c r="P27" s="218">
        <f t="shared" si="12"/>
        <v>0</v>
      </c>
      <c r="Q27" s="217" t="e">
        <f t="shared" si="13"/>
        <v>#DIV/0!</v>
      </c>
      <c r="R27" s="217">
        <f t="shared" si="14"/>
        <v>0.21735499999999999</v>
      </c>
      <c r="S27" s="217">
        <f t="shared" si="15"/>
        <v>0.21735500000000002</v>
      </c>
      <c r="T27" s="217">
        <f t="shared" si="16"/>
        <v>0.21735500000000002</v>
      </c>
      <c r="U27" s="217">
        <f t="shared" si="17"/>
        <v>0.21735500000000002</v>
      </c>
      <c r="V27" s="217">
        <f t="shared" si="18"/>
        <v>9.0999999999999998E-2</v>
      </c>
    </row>
    <row r="28" spans="2:22" ht="15.75" hidden="1" outlineLevel="1" thickBot="1" x14ac:dyDescent="0.3">
      <c r="B28" s="134">
        <v>2007</v>
      </c>
      <c r="C28" s="27">
        <f t="shared" si="7"/>
        <v>4352968473.7200003</v>
      </c>
      <c r="D28" s="27">
        <f t="shared" si="7"/>
        <v>367531498.35000002</v>
      </c>
      <c r="E28" s="27"/>
      <c r="F28" s="27">
        <v>0</v>
      </c>
      <c r="G28" s="28">
        <f t="shared" si="8"/>
        <v>7718243.1076761996</v>
      </c>
      <c r="H28" s="27">
        <f t="shared" si="8"/>
        <v>7896704.8648021985</v>
      </c>
      <c r="I28" s="29">
        <f t="shared" si="8"/>
        <v>15614947.972478397</v>
      </c>
      <c r="J28" s="29">
        <v>15614947.972478397</v>
      </c>
      <c r="K28" s="29">
        <v>6537508.9852799987</v>
      </c>
      <c r="L28" s="29">
        <f t="shared" si="9"/>
        <v>22152456.957758397</v>
      </c>
      <c r="M28" s="96"/>
      <c r="N28" s="220">
        <f t="shared" si="10"/>
        <v>0</v>
      </c>
      <c r="O28" s="219">
        <f t="shared" si="11"/>
        <v>0</v>
      </c>
      <c r="P28" s="218">
        <f t="shared" si="12"/>
        <v>0</v>
      </c>
      <c r="Q28" s="217" t="e">
        <f t="shared" si="13"/>
        <v>#DIV/0!</v>
      </c>
      <c r="R28" s="217">
        <f t="shared" si="14"/>
        <v>0.21735499999999999</v>
      </c>
      <c r="S28" s="217">
        <f t="shared" si="15"/>
        <v>0.21735499999999999</v>
      </c>
      <c r="T28" s="217">
        <f t="shared" si="16"/>
        <v>0.21735500000000002</v>
      </c>
      <c r="U28" s="217">
        <f t="shared" si="17"/>
        <v>0.21735500000000002</v>
      </c>
      <c r="V28" s="217">
        <f t="shared" si="18"/>
        <v>9.0999999999999998E-2</v>
      </c>
    </row>
    <row r="29" spans="2:22" ht="15.75" hidden="1" outlineLevel="1" thickBot="1" x14ac:dyDescent="0.3">
      <c r="B29" s="134">
        <v>2008</v>
      </c>
      <c r="C29" s="27">
        <f t="shared" si="7"/>
        <v>4445573703.5799999</v>
      </c>
      <c r="D29" s="27">
        <f t="shared" si="7"/>
        <v>375232895.51999998</v>
      </c>
      <c r="E29" s="27"/>
      <c r="F29" s="27">
        <v>0</v>
      </c>
      <c r="G29" s="28">
        <f t="shared" si="8"/>
        <v>8387660.4702172</v>
      </c>
      <c r="H29" s="27">
        <f t="shared" si="8"/>
        <v>6536451.7041529007</v>
      </c>
      <c r="I29" s="29">
        <f t="shared" si="8"/>
        <v>14924112.174370101</v>
      </c>
      <c r="J29" s="29">
        <v>14924112.174370101</v>
      </c>
      <c r="K29" s="29">
        <v>6248276.8184200004</v>
      </c>
      <c r="L29" s="29">
        <f t="shared" si="9"/>
        <v>21172388.992790103</v>
      </c>
      <c r="M29" s="96"/>
      <c r="N29" s="220">
        <f t="shared" si="10"/>
        <v>0</v>
      </c>
      <c r="O29" s="219">
        <f t="shared" si="11"/>
        <v>0</v>
      </c>
      <c r="P29" s="218">
        <f t="shared" si="12"/>
        <v>0</v>
      </c>
      <c r="Q29" s="217" t="e">
        <f t="shared" si="13"/>
        <v>#DIV/0!</v>
      </c>
      <c r="R29" s="217">
        <f t="shared" si="14"/>
        <v>0.21735499999999999</v>
      </c>
      <c r="S29" s="217">
        <f t="shared" si="15"/>
        <v>0.21735499999999999</v>
      </c>
      <c r="T29" s="217">
        <f t="shared" si="16"/>
        <v>0.21735499999999999</v>
      </c>
      <c r="U29" s="217">
        <f t="shared" si="17"/>
        <v>0.21735499999999999</v>
      </c>
      <c r="V29" s="217">
        <f t="shared" si="18"/>
        <v>9.0999999999999998E-2</v>
      </c>
    </row>
    <row r="30" spans="2:22" ht="15.75" hidden="1" outlineLevel="1" thickBot="1" x14ac:dyDescent="0.3">
      <c r="B30" s="134">
        <v>2009</v>
      </c>
      <c r="C30" s="27">
        <f t="shared" si="7"/>
        <v>4613581411.3599997</v>
      </c>
      <c r="D30" s="27">
        <f t="shared" si="7"/>
        <v>387899089.68000001</v>
      </c>
      <c r="E30" s="27"/>
      <c r="F30" s="27">
        <v>0</v>
      </c>
      <c r="G30" s="28">
        <f t="shared" si="8"/>
        <v>8104182.2668105001</v>
      </c>
      <c r="H30" s="27">
        <f t="shared" si="8"/>
        <v>6107506.3499918999</v>
      </c>
      <c r="I30" s="29">
        <f t="shared" si="8"/>
        <v>14211688.6168024</v>
      </c>
      <c r="J30" s="29">
        <v>14211688.6168024</v>
      </c>
      <c r="K30" s="29">
        <v>5950006.5060799997</v>
      </c>
      <c r="L30" s="29">
        <f t="shared" si="9"/>
        <v>20161695.1228824</v>
      </c>
      <c r="M30" s="96"/>
      <c r="N30" s="220">
        <f t="shared" si="10"/>
        <v>0</v>
      </c>
      <c r="O30" s="219">
        <f t="shared" si="11"/>
        <v>0</v>
      </c>
      <c r="P30" s="218">
        <f t="shared" si="12"/>
        <v>0</v>
      </c>
      <c r="Q30" s="217" t="e">
        <f t="shared" si="13"/>
        <v>#DIV/0!</v>
      </c>
      <c r="R30" s="217">
        <f t="shared" si="14"/>
        <v>0.21735499999999999</v>
      </c>
      <c r="S30" s="217">
        <f t="shared" si="15"/>
        <v>0.21735500000000002</v>
      </c>
      <c r="T30" s="217">
        <f t="shared" si="16"/>
        <v>0.21735500000000002</v>
      </c>
      <c r="U30" s="217">
        <f t="shared" si="17"/>
        <v>0.21735500000000002</v>
      </c>
      <c r="V30" s="217">
        <f t="shared" si="18"/>
        <v>9.0999999999999998E-2</v>
      </c>
    </row>
    <row r="31" spans="2:22" ht="15.75" hidden="1" outlineLevel="1" thickBot="1" x14ac:dyDescent="0.3">
      <c r="B31" s="134">
        <v>2010</v>
      </c>
      <c r="C31" s="27">
        <f t="shared" si="7"/>
        <v>4723013429.3599997</v>
      </c>
      <c r="D31" s="27">
        <f t="shared" si="7"/>
        <v>407073950.49000001</v>
      </c>
      <c r="E31" s="27"/>
      <c r="F31" s="27">
        <v>0</v>
      </c>
      <c r="G31" s="28">
        <f t="shared" si="8"/>
        <v>7659433.4587888503</v>
      </c>
      <c r="H31" s="27">
        <f t="shared" si="8"/>
        <v>6019514.3362430511</v>
      </c>
      <c r="I31" s="29">
        <f t="shared" si="8"/>
        <v>13678947.795031901</v>
      </c>
      <c r="J31" s="29">
        <v>13678947.795031901</v>
      </c>
      <c r="K31" s="29">
        <v>5726963.94998</v>
      </c>
      <c r="L31" s="29">
        <f t="shared" si="9"/>
        <v>19405911.745011903</v>
      </c>
      <c r="M31" s="96"/>
      <c r="N31" s="220">
        <f t="shared" si="10"/>
        <v>0</v>
      </c>
      <c r="O31" s="219">
        <f t="shared" si="11"/>
        <v>0</v>
      </c>
      <c r="P31" s="218">
        <f t="shared" si="12"/>
        <v>0</v>
      </c>
      <c r="Q31" s="217" t="e">
        <f t="shared" si="13"/>
        <v>#DIV/0!</v>
      </c>
      <c r="R31" s="217">
        <f t="shared" si="14"/>
        <v>0.21735500000000002</v>
      </c>
      <c r="S31" s="217">
        <f t="shared" si="15"/>
        <v>0.21735500000000002</v>
      </c>
      <c r="T31" s="217">
        <f t="shared" si="16"/>
        <v>0.21735500000000002</v>
      </c>
      <c r="U31" s="217">
        <f t="shared" si="17"/>
        <v>0.21735500000000002</v>
      </c>
      <c r="V31" s="217">
        <f t="shared" si="18"/>
        <v>9.0999999999999998E-2</v>
      </c>
    </row>
    <row r="32" spans="2:22" ht="15.75" hidden="1" outlineLevel="1" thickBot="1" x14ac:dyDescent="0.3">
      <c r="B32" s="134">
        <v>2011</v>
      </c>
      <c r="C32" s="27">
        <f t="shared" si="7"/>
        <v>4988007891.8699999</v>
      </c>
      <c r="D32" s="27">
        <f t="shared" si="7"/>
        <v>434415889.69</v>
      </c>
      <c r="E32" s="27"/>
      <c r="F32" s="27">
        <v>0</v>
      </c>
      <c r="G32" s="28">
        <f t="shared" si="8"/>
        <v>7936073.7471898962</v>
      </c>
      <c r="H32" s="27">
        <f t="shared" si="8"/>
        <v>7839668.673514314</v>
      </c>
      <c r="I32" s="29">
        <f t="shared" si="8"/>
        <v>15775742.42070421</v>
      </c>
      <c r="J32" s="29">
        <v>15775742.42070421</v>
      </c>
      <c r="K32" s="29">
        <v>5735253.93805</v>
      </c>
      <c r="L32" s="29">
        <f t="shared" si="9"/>
        <v>21510996.35875421</v>
      </c>
      <c r="M32" s="96"/>
      <c r="N32" s="220">
        <f t="shared" si="10"/>
        <v>0</v>
      </c>
      <c r="O32" s="219">
        <f t="shared" si="11"/>
        <v>0</v>
      </c>
      <c r="P32" s="218">
        <f t="shared" si="12"/>
        <v>0</v>
      </c>
      <c r="Q32" s="217" t="e">
        <f t="shared" si="13"/>
        <v>#DIV/0!</v>
      </c>
      <c r="R32" s="217">
        <f t="shared" si="14"/>
        <v>0.25031019999999998</v>
      </c>
      <c r="S32" s="217">
        <f t="shared" si="15"/>
        <v>0.25031019999999998</v>
      </c>
      <c r="T32" s="217">
        <f t="shared" si="16"/>
        <v>0.25031020000000004</v>
      </c>
      <c r="U32" s="217">
        <f t="shared" si="17"/>
        <v>0.25031020000000004</v>
      </c>
      <c r="V32" s="217">
        <f t="shared" si="18"/>
        <v>9.0999999999999998E-2</v>
      </c>
    </row>
    <row r="33" spans="2:22" ht="15.75" collapsed="1" thickBot="1" x14ac:dyDescent="0.3">
      <c r="B33" s="134">
        <v>2012</v>
      </c>
      <c r="C33" s="27">
        <f t="shared" si="7"/>
        <v>5113108047.9899998</v>
      </c>
      <c r="D33" s="27">
        <f t="shared" si="7"/>
        <v>448653907.09000003</v>
      </c>
      <c r="E33" s="27"/>
      <c r="F33" s="27">
        <v>0</v>
      </c>
      <c r="G33" s="28">
        <v>7914070.7617807062</v>
      </c>
      <c r="H33" s="27">
        <v>8656491.1050121076</v>
      </c>
      <c r="I33" s="29">
        <f t="shared" ref="I33:I42" si="19">G33+H33</f>
        <v>16570561.866792813</v>
      </c>
      <c r="J33" s="29">
        <f t="shared" ref="J33:J42" si="20">I33+F33</f>
        <v>16570561.866792813</v>
      </c>
      <c r="K33" s="29">
        <v>5623823.0468191067</v>
      </c>
      <c r="L33" s="29">
        <f t="shared" si="9"/>
        <v>22194384.913611919</v>
      </c>
      <c r="M33" s="96"/>
      <c r="N33" s="220">
        <f t="shared" si="10"/>
        <v>0</v>
      </c>
      <c r="O33" s="219">
        <f t="shared" si="11"/>
        <v>0</v>
      </c>
      <c r="P33" s="218">
        <f t="shared" si="12"/>
        <v>0</v>
      </c>
      <c r="Q33" s="217" t="e">
        <f t="shared" si="13"/>
        <v>#DIV/0!</v>
      </c>
      <c r="R33" s="217">
        <f t="shared" si="14"/>
        <v>0.26897220123169052</v>
      </c>
      <c r="S33" s="217">
        <f t="shared" si="15"/>
        <v>0.26897220123169058</v>
      </c>
      <c r="T33" s="217">
        <f t="shared" si="16"/>
        <v>0.26897220123169052</v>
      </c>
      <c r="U33" s="217">
        <f t="shared" si="17"/>
        <v>0.26897220123169052</v>
      </c>
      <c r="V33" s="217">
        <f t="shared" si="18"/>
        <v>9.1285502350513692E-2</v>
      </c>
    </row>
    <row r="34" spans="2:22" ht="15.75" thickBot="1" x14ac:dyDescent="0.3">
      <c r="B34" s="134">
        <v>2013</v>
      </c>
      <c r="C34" s="27">
        <f t="shared" si="7"/>
        <v>5111331229.8400002</v>
      </c>
      <c r="D34" s="27">
        <f t="shared" si="7"/>
        <v>442092705.80000001</v>
      </c>
      <c r="E34" s="27"/>
      <c r="F34" s="27">
        <v>2171036.6802301956</v>
      </c>
      <c r="G34" s="28">
        <v>7170294.9693570212</v>
      </c>
      <c r="H34" s="27">
        <v>10717200.939060699</v>
      </c>
      <c r="I34" s="29">
        <f t="shared" si="19"/>
        <v>17887495.90841772</v>
      </c>
      <c r="J34" s="29">
        <f t="shared" si="20"/>
        <v>20058532.588647917</v>
      </c>
      <c r="K34" s="29">
        <v>5294316.8594089625</v>
      </c>
      <c r="L34" s="29">
        <f t="shared" si="9"/>
        <v>25352849.44805688</v>
      </c>
      <c r="M34" s="96"/>
      <c r="N34" s="220">
        <f t="shared" si="10"/>
        <v>2171036.6802301956</v>
      </c>
      <c r="O34" s="219">
        <f t="shared" si="11"/>
        <v>573030.7562499902</v>
      </c>
      <c r="P34" s="218">
        <f t="shared" si="12"/>
        <v>2744067.4364801859</v>
      </c>
      <c r="Q34" s="217">
        <f t="shared" si="13"/>
        <v>0.29161691378835281</v>
      </c>
      <c r="R34" s="217">
        <f t="shared" si="14"/>
        <v>0.29161691378835281</v>
      </c>
      <c r="S34" s="217">
        <f t="shared" si="15"/>
        <v>0.29161691378835281</v>
      </c>
      <c r="T34" s="217">
        <f t="shared" si="16"/>
        <v>0.29161691378835286</v>
      </c>
      <c r="U34" s="217">
        <f t="shared" si="17"/>
        <v>0.29161691378835286</v>
      </c>
      <c r="V34" s="217">
        <f t="shared" si="18"/>
        <v>7.6970353456077847E-2</v>
      </c>
    </row>
    <row r="35" spans="2:22" ht="15.75" thickBot="1" x14ac:dyDescent="0.3">
      <c r="B35" s="134">
        <v>2014</v>
      </c>
      <c r="C35" s="27">
        <f t="shared" si="7"/>
        <v>5177345265.75</v>
      </c>
      <c r="D35" s="27">
        <f t="shared" si="7"/>
        <v>431416086.17000002</v>
      </c>
      <c r="E35" s="27"/>
      <c r="F35" s="27">
        <v>3175800.1878011539</v>
      </c>
      <c r="G35" s="28">
        <v>7078002.7915384443</v>
      </c>
      <c r="H35" s="27">
        <v>13751471.938900275</v>
      </c>
      <c r="I35" s="29">
        <f t="shared" si="19"/>
        <v>20829474.73043872</v>
      </c>
      <c r="J35" s="29">
        <f t="shared" si="20"/>
        <v>24005274.918239873</v>
      </c>
      <c r="K35" s="29">
        <v>6710833.8119123466</v>
      </c>
      <c r="L35" s="29">
        <f t="shared" si="9"/>
        <v>30716108.73015222</v>
      </c>
      <c r="M35" s="96"/>
      <c r="N35" s="220">
        <f t="shared" si="10"/>
        <v>3175800.1878011539</v>
      </c>
      <c r="O35" s="219">
        <f t="shared" si="11"/>
        <v>887816.00513893354</v>
      </c>
      <c r="P35" s="218">
        <f t="shared" si="12"/>
        <v>4063616.1929400875</v>
      </c>
      <c r="Q35" s="217">
        <f t="shared" si="13"/>
        <v>0.28605077519684824</v>
      </c>
      <c r="R35" s="217">
        <f t="shared" si="14"/>
        <v>0.28605077519684824</v>
      </c>
      <c r="S35" s="217">
        <f t="shared" si="15"/>
        <v>0.28605077519684824</v>
      </c>
      <c r="T35" s="217">
        <f t="shared" si="16"/>
        <v>0.28605077519684824</v>
      </c>
      <c r="U35" s="217">
        <f t="shared" si="17"/>
        <v>0.28605077519684824</v>
      </c>
      <c r="V35" s="217">
        <f t="shared" si="18"/>
        <v>7.9967391360977566E-2</v>
      </c>
    </row>
    <row r="36" spans="2:22" ht="15.75" thickBot="1" x14ac:dyDescent="0.3">
      <c r="B36" s="134">
        <v>2015</v>
      </c>
      <c r="C36" s="27">
        <f t="shared" si="7"/>
        <v>5402537959.9499998</v>
      </c>
      <c r="D36" s="27">
        <f t="shared" si="7"/>
        <v>446232358.93000001</v>
      </c>
      <c r="E36" s="27"/>
      <c r="F36" s="27">
        <v>3704026.1665743897</v>
      </c>
      <c r="G36" s="28">
        <v>7608357.5413177349</v>
      </c>
      <c r="H36" s="27">
        <v>14950329.870839113</v>
      </c>
      <c r="I36" s="29">
        <f t="shared" si="19"/>
        <v>22558687.41215685</v>
      </c>
      <c r="J36" s="29">
        <f t="shared" si="20"/>
        <v>26262713.578731239</v>
      </c>
      <c r="K36" s="29">
        <v>6887851.206089885</v>
      </c>
      <c r="L36" s="29">
        <f t="shared" si="9"/>
        <v>33150564.784821123</v>
      </c>
      <c r="M36" s="96"/>
      <c r="N36" s="220">
        <f t="shared" si="10"/>
        <v>3704026.1665743897</v>
      </c>
      <c r="O36" s="219">
        <f t="shared" si="11"/>
        <v>971444.97358754789</v>
      </c>
      <c r="P36" s="218">
        <f t="shared" si="12"/>
        <v>4675471.1401619371</v>
      </c>
      <c r="Q36" s="217">
        <f t="shared" si="13"/>
        <v>0.29387744371733826</v>
      </c>
      <c r="R36" s="217">
        <f t="shared" si="14"/>
        <v>0.29387744371733826</v>
      </c>
      <c r="S36" s="217">
        <f t="shared" si="15"/>
        <v>0.29387744371733826</v>
      </c>
      <c r="T36" s="217">
        <f t="shared" si="16"/>
        <v>0.29387744371733826</v>
      </c>
      <c r="U36" s="217">
        <f t="shared" si="17"/>
        <v>0.29387744371733826</v>
      </c>
      <c r="V36" s="217">
        <f t="shared" si="18"/>
        <v>7.7074446213751452E-2</v>
      </c>
    </row>
    <row r="37" spans="2:22" ht="15.75" thickBot="1" x14ac:dyDescent="0.3">
      <c r="B37" s="134">
        <v>2016</v>
      </c>
      <c r="C37" s="27">
        <f t="shared" si="7"/>
        <v>5514933568.9899998</v>
      </c>
      <c r="D37" s="27">
        <f t="shared" si="7"/>
        <v>459405709.23000002</v>
      </c>
      <c r="E37" s="27"/>
      <c r="F37" s="27">
        <v>3812143.4420952313</v>
      </c>
      <c r="G37" s="28">
        <v>7591705.1782321529</v>
      </c>
      <c r="H37" s="27">
        <v>15691941.549464764</v>
      </c>
      <c r="I37" s="29">
        <f t="shared" si="19"/>
        <v>23283646.727696918</v>
      </c>
      <c r="J37" s="29">
        <f t="shared" si="20"/>
        <v>27095790.169792149</v>
      </c>
      <c r="K37" s="29">
        <v>9310630.9517832678</v>
      </c>
      <c r="L37" s="29">
        <f t="shared" si="9"/>
        <v>36406421.121575415</v>
      </c>
      <c r="M37" s="96"/>
      <c r="N37" s="220">
        <f t="shared" si="10"/>
        <v>3812143.4420952313</v>
      </c>
      <c r="O37" s="219">
        <f t="shared" si="11"/>
        <v>1309925.2873673157</v>
      </c>
      <c r="P37" s="218">
        <f t="shared" si="12"/>
        <v>5122068.7294625472</v>
      </c>
      <c r="Q37" s="217">
        <f t="shared" si="13"/>
        <v>0.30195906267018718</v>
      </c>
      <c r="R37" s="217">
        <f t="shared" si="14"/>
        <v>0.30195906267018718</v>
      </c>
      <c r="S37" s="217">
        <f t="shared" si="15"/>
        <v>0.30195906267018718</v>
      </c>
      <c r="T37" s="217">
        <f t="shared" si="16"/>
        <v>0.30195906267018724</v>
      </c>
      <c r="U37" s="217">
        <f t="shared" si="17"/>
        <v>0.30195906267018718</v>
      </c>
      <c r="V37" s="217">
        <f t="shared" si="18"/>
        <v>0.10375890045837607</v>
      </c>
    </row>
    <row r="38" spans="2:22" ht="15.75" thickBot="1" x14ac:dyDescent="0.3">
      <c r="B38" s="134">
        <v>2017</v>
      </c>
      <c r="C38" s="27">
        <f t="shared" si="7"/>
        <v>5468326234.6000004</v>
      </c>
      <c r="D38" s="27">
        <f t="shared" si="7"/>
        <v>444971488.89999998</v>
      </c>
      <c r="E38" s="27"/>
      <c r="F38" s="27">
        <v>3298462.9303263552</v>
      </c>
      <c r="G38" s="28">
        <v>6718974.1515667811</v>
      </c>
      <c r="H38" s="27">
        <v>17211745.28074633</v>
      </c>
      <c r="I38" s="29">
        <f t="shared" si="19"/>
        <v>23930719.432313111</v>
      </c>
      <c r="J38" s="29">
        <f t="shared" si="20"/>
        <v>27229182.362639464</v>
      </c>
      <c r="K38" s="29">
        <v>8660220.1856699791</v>
      </c>
      <c r="L38" s="29">
        <f t="shared" si="9"/>
        <v>35889402.548309445</v>
      </c>
      <c r="M38" s="96"/>
      <c r="N38" s="220">
        <f t="shared" si="10"/>
        <v>3298462.9303263552</v>
      </c>
      <c r="O38" s="219">
        <f t="shared" si="11"/>
        <v>1049073.5590390109</v>
      </c>
      <c r="P38" s="218">
        <f t="shared" si="12"/>
        <v>4347536.4893653663</v>
      </c>
      <c r="Q38" s="217">
        <f t="shared" si="13"/>
        <v>0.29394570522589109</v>
      </c>
      <c r="R38" s="217">
        <f t="shared" si="14"/>
        <v>0.29394570522589109</v>
      </c>
      <c r="S38" s="217">
        <f t="shared" si="15"/>
        <v>0.29394570522589103</v>
      </c>
      <c r="T38" s="217">
        <f t="shared" si="16"/>
        <v>0.29394570522589109</v>
      </c>
      <c r="U38" s="217">
        <f t="shared" si="17"/>
        <v>0.29394570522589109</v>
      </c>
      <c r="V38" s="217">
        <f t="shared" si="18"/>
        <v>9.3489201988711412E-2</v>
      </c>
    </row>
    <row r="39" spans="2:22" ht="15.75" thickBot="1" x14ac:dyDescent="0.3">
      <c r="B39" s="134">
        <v>2018</v>
      </c>
      <c r="C39" s="27">
        <f t="shared" si="7"/>
        <v>5551893797.1499996</v>
      </c>
      <c r="D39" s="27">
        <f t="shared" si="7"/>
        <v>445501101.96999997</v>
      </c>
      <c r="E39" s="27"/>
      <c r="F39" s="27">
        <v>3417004.0909204641</v>
      </c>
      <c r="G39" s="28">
        <v>6580689.2234191941</v>
      </c>
      <c r="H39" s="27">
        <v>17123548.582276471</v>
      </c>
      <c r="I39" s="29">
        <f t="shared" si="19"/>
        <v>23704237.805695664</v>
      </c>
      <c r="J39" s="29">
        <f t="shared" si="20"/>
        <v>27121241.896616127</v>
      </c>
      <c r="K39" s="29">
        <v>8900457.0917367656</v>
      </c>
      <c r="L39" s="29">
        <f t="shared" si="9"/>
        <v>36021698.988352895</v>
      </c>
      <c r="M39" s="96"/>
      <c r="N39" s="220">
        <f t="shared" si="10"/>
        <v>3417004.0909204641</v>
      </c>
      <c r="O39" s="219">
        <f t="shared" si="11"/>
        <v>1121368.2031766085</v>
      </c>
      <c r="P39" s="218">
        <f t="shared" si="12"/>
        <v>4538372.2940970724</v>
      </c>
      <c r="Q39" s="217">
        <f t="shared" si="13"/>
        <v>0.29052816087753813</v>
      </c>
      <c r="R39" s="217">
        <f t="shared" si="14"/>
        <v>0.29052816087753813</v>
      </c>
      <c r="S39" s="217">
        <f t="shared" si="15"/>
        <v>0.29052816087753819</v>
      </c>
      <c r="T39" s="217">
        <f t="shared" si="16"/>
        <v>0.29052816087753813</v>
      </c>
      <c r="U39" s="217">
        <f t="shared" si="17"/>
        <v>0.29052816087753813</v>
      </c>
      <c r="V39" s="217">
        <f t="shared" si="18"/>
        <v>9.5343474302862011E-2</v>
      </c>
    </row>
    <row r="40" spans="2:22" ht="15.75" thickBot="1" x14ac:dyDescent="0.3">
      <c r="B40" s="134">
        <v>2019</v>
      </c>
      <c r="C40" s="27">
        <f t="shared" si="7"/>
        <v>5851909080.8599997</v>
      </c>
      <c r="D40" s="27">
        <f t="shared" si="7"/>
        <v>459129221.54000008</v>
      </c>
      <c r="E40" s="27"/>
      <c r="F40" s="27">
        <v>3431220.1872022324</v>
      </c>
      <c r="G40" s="28">
        <v>6065666.7022259543</v>
      </c>
      <c r="H40" s="27">
        <v>14409047.519472638</v>
      </c>
      <c r="I40" s="29">
        <f t="shared" si="19"/>
        <v>20474714.221698593</v>
      </c>
      <c r="J40" s="29">
        <f t="shared" si="20"/>
        <v>23905934.408900827</v>
      </c>
      <c r="K40" s="29">
        <v>7587215.5702478904</v>
      </c>
      <c r="L40" s="29">
        <f t="shared" si="9"/>
        <v>31493149.979148716</v>
      </c>
      <c r="M40" s="96"/>
      <c r="N40" s="220">
        <f t="shared" si="10"/>
        <v>3431220.1872022324</v>
      </c>
      <c r="O40" s="219">
        <f t="shared" si="11"/>
        <v>1088993.5019480651</v>
      </c>
      <c r="P40" s="218">
        <f t="shared" si="12"/>
        <v>4520213.689150298</v>
      </c>
      <c r="Q40" s="217">
        <f t="shared" si="13"/>
        <v>0.26816244874846334</v>
      </c>
      <c r="R40" s="217">
        <f t="shared" si="14"/>
        <v>0.26816244874846334</v>
      </c>
      <c r="S40" s="217">
        <f t="shared" si="15"/>
        <v>0.26816244874846334</v>
      </c>
      <c r="T40" s="217">
        <f t="shared" si="16"/>
        <v>0.26816244874846334</v>
      </c>
      <c r="U40" s="217">
        <f t="shared" si="17"/>
        <v>0.26816244874846334</v>
      </c>
      <c r="V40" s="217">
        <f t="shared" si="18"/>
        <v>8.5108838320187313E-2</v>
      </c>
    </row>
    <row r="41" spans="2:22" ht="15.75" thickBot="1" x14ac:dyDescent="0.3">
      <c r="B41" s="134">
        <v>2020</v>
      </c>
      <c r="C41" s="27">
        <f t="shared" si="7"/>
        <v>4460847923.75</v>
      </c>
      <c r="D41" s="27">
        <f t="shared" si="7"/>
        <v>339589388.06900007</v>
      </c>
      <c r="E41" s="27"/>
      <c r="F41" s="27">
        <v>2055143.1655576024</v>
      </c>
      <c r="G41" s="28">
        <v>3629173.2372646085</v>
      </c>
      <c r="H41" s="27">
        <v>10113312.650718778</v>
      </c>
      <c r="I41" s="29">
        <f t="shared" si="19"/>
        <v>13742485.887983387</v>
      </c>
      <c r="J41" s="29">
        <f t="shared" si="20"/>
        <v>15797629.05354099</v>
      </c>
      <c r="K41" s="29">
        <v>0</v>
      </c>
      <c r="L41" s="29">
        <f t="shared" si="9"/>
        <v>15797629.05354099</v>
      </c>
      <c r="M41" s="96"/>
      <c r="N41" s="220">
        <f t="shared" si="10"/>
        <v>2055143.1655576024</v>
      </c>
      <c r="O41" s="219">
        <f t="shared" si="11"/>
        <v>0</v>
      </c>
      <c r="P41" s="218">
        <f t="shared" si="12"/>
        <v>2055143.1655576024</v>
      </c>
      <c r="Q41" s="217">
        <f t="shared" si="13"/>
        <v>0.23675815883667942</v>
      </c>
      <c r="R41" s="217">
        <f t="shared" si="14"/>
        <v>0.23675815883667942</v>
      </c>
      <c r="S41" s="217">
        <f t="shared" si="15"/>
        <v>0.23675815883667942</v>
      </c>
      <c r="T41" s="217">
        <f t="shared" si="16"/>
        <v>0.23675815883667942</v>
      </c>
      <c r="U41" s="217">
        <f t="shared" si="17"/>
        <v>0.23675815883667942</v>
      </c>
      <c r="V41" s="217">
        <f t="shared" si="18"/>
        <v>0</v>
      </c>
    </row>
    <row r="42" spans="2:22" ht="15.75" thickBot="1" x14ac:dyDescent="0.3">
      <c r="B42" s="134">
        <v>2021</v>
      </c>
      <c r="C42" s="27">
        <f t="shared" si="7"/>
        <v>1962426836.3299999</v>
      </c>
      <c r="D42" s="27">
        <f t="shared" si="7"/>
        <v>158206824.42000002</v>
      </c>
      <c r="E42" s="27"/>
      <c r="F42" s="27">
        <v>855279.97028980555</v>
      </c>
      <c r="G42" s="28">
        <v>246523.94489620702</v>
      </c>
      <c r="H42" s="27">
        <v>3531855.5881729927</v>
      </c>
      <c r="I42" s="29">
        <f t="shared" si="19"/>
        <v>3778379.5330691999</v>
      </c>
      <c r="J42" s="29">
        <f t="shared" si="20"/>
        <v>4633659.5033590058</v>
      </c>
      <c r="K42" s="29">
        <v>0</v>
      </c>
      <c r="L42" s="29">
        <f t="shared" si="9"/>
        <v>4633659.5033590058</v>
      </c>
      <c r="M42" s="221"/>
      <c r="N42" s="220">
        <f t="shared" si="10"/>
        <v>855279.97028980555</v>
      </c>
      <c r="O42" s="219">
        <f t="shared" si="11"/>
        <v>0</v>
      </c>
      <c r="P42" s="218">
        <f t="shared" si="12"/>
        <v>855279.97028980555</v>
      </c>
      <c r="Q42" s="217">
        <f t="shared" si="13"/>
        <v>0.30728051065310596</v>
      </c>
      <c r="R42" s="217">
        <f t="shared" si="14"/>
        <v>0.30728051065310596</v>
      </c>
      <c r="S42" s="217">
        <f t="shared" si="15"/>
        <v>0.30728051065310596</v>
      </c>
      <c r="T42" s="217">
        <f t="shared" si="16"/>
        <v>0.30728051065310602</v>
      </c>
      <c r="U42" s="217">
        <f t="shared" si="17"/>
        <v>0.30728051065310602</v>
      </c>
      <c r="V42" s="217">
        <f t="shared" si="18"/>
        <v>0</v>
      </c>
    </row>
    <row r="43" spans="2:22" ht="15.75" hidden="1" outlineLevel="1" thickBot="1" x14ac:dyDescent="0.3">
      <c r="B43" s="135" t="s">
        <v>246</v>
      </c>
      <c r="C43" s="132">
        <f>SUM(C26:C32)</f>
        <v>31457250430.139999</v>
      </c>
      <c r="D43" s="132">
        <f>SUM(D26:D32)</f>
        <v>2659585944.8499999</v>
      </c>
      <c r="E43" s="131"/>
      <c r="F43" s="132">
        <f t="shared" ref="F43:L43" si="21">SUM(F26:F32)</f>
        <v>0</v>
      </c>
      <c r="G43" s="132">
        <f t="shared" si="21"/>
        <v>51139320.830265194</v>
      </c>
      <c r="H43" s="132">
        <f t="shared" si="21"/>
        <v>51184755.078509912</v>
      </c>
      <c r="I43" s="132">
        <f t="shared" si="21"/>
        <v>102324075.90877512</v>
      </c>
      <c r="J43" s="132">
        <f t="shared" si="21"/>
        <v>102324075.90877512</v>
      </c>
      <c r="K43" s="132">
        <f t="shared" si="21"/>
        <v>41970437.611829996</v>
      </c>
      <c r="L43" s="132">
        <f t="shared" si="21"/>
        <v>144294513.52060512</v>
      </c>
      <c r="N43" s="132">
        <f t="shared" si="10"/>
        <v>0</v>
      </c>
      <c r="O43" s="132">
        <f t="shared" si="11"/>
        <v>0</v>
      </c>
      <c r="P43" s="132">
        <f t="shared" si="12"/>
        <v>0</v>
      </c>
      <c r="Q43" s="106"/>
      <c r="R43" s="106"/>
      <c r="S43" s="106"/>
    </row>
    <row r="44" spans="2:22" ht="15.75" collapsed="1" thickBot="1" x14ac:dyDescent="0.3">
      <c r="B44" s="135" t="s">
        <v>228</v>
      </c>
      <c r="C44" s="132">
        <f>SUM(C33:C42)</f>
        <v>49614659945.209999</v>
      </c>
      <c r="D44" s="132">
        <f>SUM(D33:D42)</f>
        <v>4075198792.1190004</v>
      </c>
      <c r="E44" s="131"/>
      <c r="F44" s="132">
        <f t="shared" ref="F44:L44" si="22">SUM(F33:F42)</f>
        <v>25920116.820997432</v>
      </c>
      <c r="G44" s="132">
        <f t="shared" si="22"/>
        <v>60603458.501598805</v>
      </c>
      <c r="H44" s="132">
        <f t="shared" si="22"/>
        <v>126156945.02466416</v>
      </c>
      <c r="I44" s="132">
        <f t="shared" si="22"/>
        <v>186760403.52626294</v>
      </c>
      <c r="J44" s="132">
        <f t="shared" si="22"/>
        <v>212680520.34726042</v>
      </c>
      <c r="K44" s="132">
        <f t="shared" si="22"/>
        <v>58975348.723668203</v>
      </c>
      <c r="L44" s="132">
        <f t="shared" si="22"/>
        <v>271655869.07092863</v>
      </c>
      <c r="N44" s="132">
        <f>SUM(N34:N42)</f>
        <v>25920116.820997432</v>
      </c>
      <c r="O44" s="132">
        <f>SUM(O34:O42)</f>
        <v>7001652.2865074715</v>
      </c>
      <c r="P44" s="132">
        <f>SUM(P34:P42)</f>
        <v>32921769.107504897</v>
      </c>
    </row>
    <row r="45" spans="2:22" s="56" customFormat="1" x14ac:dyDescent="0.25">
      <c r="B45" s="209"/>
      <c r="C45" s="129">
        <f t="shared" ref="C45:L45" si="23">C43+C44</f>
        <v>81071910375.350006</v>
      </c>
      <c r="D45" s="129">
        <f t="shared" si="23"/>
        <v>6734784736.9689999</v>
      </c>
      <c r="E45" s="129">
        <f t="shared" si="23"/>
        <v>0</v>
      </c>
      <c r="F45" s="129">
        <f t="shared" si="23"/>
        <v>25920116.820997432</v>
      </c>
      <c r="G45" s="129">
        <f t="shared" si="23"/>
        <v>111742779.331864</v>
      </c>
      <c r="H45" s="129">
        <f t="shared" si="23"/>
        <v>177341700.10317409</v>
      </c>
      <c r="I45" s="129">
        <f t="shared" si="23"/>
        <v>289084479.43503809</v>
      </c>
      <c r="J45" s="129">
        <f t="shared" si="23"/>
        <v>315004596.25603557</v>
      </c>
      <c r="K45" s="129">
        <f t="shared" si="23"/>
        <v>100945786.3354982</v>
      </c>
      <c r="L45" s="129">
        <f t="shared" si="23"/>
        <v>415950382.59153378</v>
      </c>
    </row>
    <row r="46" spans="2:22" s="56" customFormat="1" x14ac:dyDescent="0.25">
      <c r="B46" s="216" t="s">
        <v>245</v>
      </c>
      <c r="C46" s="129"/>
      <c r="D46" s="129"/>
      <c r="F46" s="129"/>
      <c r="G46" s="129"/>
      <c r="H46" s="129"/>
      <c r="I46" s="129"/>
      <c r="J46" s="129"/>
      <c r="K46" s="129"/>
      <c r="L46" s="129"/>
      <c r="Q46" s="214"/>
      <c r="R46" s="214"/>
      <c r="S46" s="214"/>
    </row>
    <row r="47" spans="2:22" s="56" customFormat="1" x14ac:dyDescent="0.25">
      <c r="B47" s="212" t="s">
        <v>244</v>
      </c>
      <c r="C47" s="129"/>
      <c r="D47" s="129"/>
      <c r="F47" s="129"/>
      <c r="G47" s="129"/>
      <c r="H47" s="129"/>
      <c r="I47" s="129"/>
      <c r="J47" s="129"/>
      <c r="K47" s="129"/>
      <c r="L47" s="129"/>
      <c r="Q47" s="214"/>
      <c r="R47" s="214"/>
      <c r="S47" s="214"/>
    </row>
    <row r="48" spans="2:22" s="56" customFormat="1" x14ac:dyDescent="0.25">
      <c r="B48" s="56" t="s">
        <v>243</v>
      </c>
      <c r="C48" s="129"/>
      <c r="D48" s="129"/>
      <c r="F48" s="129"/>
      <c r="G48" s="129"/>
      <c r="H48" s="129"/>
      <c r="I48" s="129"/>
      <c r="J48" s="129"/>
      <c r="K48" s="129"/>
      <c r="L48" s="129"/>
      <c r="Q48" s="214"/>
      <c r="R48" s="214"/>
      <c r="S48" s="214"/>
    </row>
    <row r="49" spans="2:19" s="56" customFormat="1" x14ac:dyDescent="0.25">
      <c r="B49" s="213" t="s">
        <v>242</v>
      </c>
      <c r="C49" s="129"/>
      <c r="D49" s="129"/>
      <c r="F49" s="129"/>
      <c r="G49" s="129"/>
      <c r="H49" s="129"/>
      <c r="I49" s="129"/>
      <c r="J49" s="129"/>
      <c r="K49" s="129"/>
      <c r="L49" s="129"/>
      <c r="Q49" s="214"/>
      <c r="R49" s="214"/>
      <c r="S49" s="214"/>
    </row>
    <row r="50" spans="2:19" s="56" customFormat="1" x14ac:dyDescent="0.25">
      <c r="B50" s="215" t="s">
        <v>241</v>
      </c>
      <c r="C50" s="129"/>
      <c r="D50" s="129"/>
      <c r="F50" s="129"/>
      <c r="G50" s="129"/>
      <c r="H50" s="129"/>
      <c r="I50" s="129"/>
      <c r="J50" s="129"/>
      <c r="K50" s="129"/>
      <c r="L50" s="129"/>
      <c r="Q50" s="214"/>
      <c r="R50" s="214"/>
      <c r="S50" s="214"/>
    </row>
    <row r="51" spans="2:19" s="56" customFormat="1" x14ac:dyDescent="0.25">
      <c r="B51" s="215" t="s">
        <v>240</v>
      </c>
      <c r="C51" s="129"/>
      <c r="D51" s="129"/>
      <c r="F51" s="129"/>
      <c r="G51" s="129"/>
      <c r="H51" s="129"/>
      <c r="I51" s="129"/>
      <c r="J51" s="129"/>
      <c r="K51" s="129"/>
      <c r="L51" s="129"/>
      <c r="Q51" s="214"/>
      <c r="R51" s="214"/>
      <c r="S51" s="214"/>
    </row>
    <row r="52" spans="2:19" s="56" customFormat="1" x14ac:dyDescent="0.25">
      <c r="B52" s="213" t="s">
        <v>239</v>
      </c>
      <c r="C52" s="129"/>
      <c r="D52" s="129"/>
      <c r="F52" s="129"/>
      <c r="G52" s="129"/>
      <c r="H52" s="129"/>
      <c r="I52" s="129"/>
      <c r="J52" s="129"/>
      <c r="K52" s="129"/>
      <c r="L52" s="129"/>
      <c r="Q52" s="214"/>
      <c r="R52" s="214"/>
      <c r="S52" s="214"/>
    </row>
    <row r="53" spans="2:19" s="56" customFormat="1" x14ac:dyDescent="0.25">
      <c r="B53" s="215" t="s">
        <v>238</v>
      </c>
      <c r="C53" s="129"/>
      <c r="D53" s="129"/>
      <c r="F53" s="129"/>
      <c r="G53" s="129"/>
      <c r="H53" s="129"/>
      <c r="I53" s="129"/>
      <c r="J53" s="129"/>
      <c r="K53" s="129"/>
      <c r="L53" s="129"/>
      <c r="Q53" s="214"/>
      <c r="R53" s="214"/>
      <c r="S53" s="214"/>
    </row>
    <row r="54" spans="2:19" s="56" customFormat="1" x14ac:dyDescent="0.25">
      <c r="B54" s="215" t="s">
        <v>237</v>
      </c>
      <c r="C54" s="129"/>
      <c r="D54" s="129"/>
      <c r="F54" s="129"/>
      <c r="G54" s="129"/>
      <c r="H54" s="129"/>
      <c r="I54" s="129"/>
      <c r="J54" s="129"/>
      <c r="K54" s="129"/>
      <c r="L54" s="129"/>
      <c r="Q54" s="214"/>
      <c r="R54" s="214"/>
      <c r="S54" s="214"/>
    </row>
    <row r="55" spans="2:19" s="56" customFormat="1" x14ac:dyDescent="0.25">
      <c r="B55" s="213" t="s">
        <v>236</v>
      </c>
      <c r="C55" s="129"/>
      <c r="D55" s="129"/>
      <c r="F55" s="129"/>
      <c r="G55" s="129"/>
      <c r="H55" s="129"/>
      <c r="I55" s="129"/>
      <c r="J55" s="129"/>
      <c r="K55" s="129"/>
      <c r="L55" s="129"/>
      <c r="Q55" s="214"/>
      <c r="R55" s="214"/>
      <c r="S55" s="214"/>
    </row>
    <row r="56" spans="2:19" s="56" customFormat="1" x14ac:dyDescent="0.25">
      <c r="B56" s="215" t="s">
        <v>235</v>
      </c>
      <c r="C56" s="129"/>
      <c r="D56" s="129"/>
      <c r="F56" s="129"/>
      <c r="G56" s="129"/>
      <c r="H56" s="129"/>
      <c r="I56" s="129"/>
      <c r="J56" s="129"/>
      <c r="K56" s="129"/>
      <c r="L56" s="129"/>
      <c r="Q56" s="214"/>
      <c r="R56" s="214"/>
      <c r="S56" s="214"/>
    </row>
    <row r="57" spans="2:19" s="56" customFormat="1" x14ac:dyDescent="0.25">
      <c r="B57" s="213" t="s">
        <v>234</v>
      </c>
      <c r="C57" s="209"/>
      <c r="D57" s="129"/>
      <c r="E57" s="129"/>
      <c r="G57" s="129"/>
      <c r="H57" s="129"/>
      <c r="I57" s="129"/>
      <c r="J57" s="129"/>
      <c r="K57" s="129"/>
      <c r="L57" s="129"/>
      <c r="M57" s="129"/>
    </row>
    <row r="58" spans="2:19" s="56" customFormat="1" x14ac:dyDescent="0.25">
      <c r="B58" s="212" t="s">
        <v>233</v>
      </c>
      <c r="C58" s="209"/>
      <c r="D58" s="129"/>
      <c r="E58" s="129"/>
      <c r="G58" s="129"/>
      <c r="H58" s="129"/>
      <c r="I58" s="129"/>
      <c r="J58" s="129"/>
      <c r="K58" s="129"/>
      <c r="L58" s="129"/>
      <c r="M58" s="129"/>
    </row>
    <row r="59" spans="2:19" s="56" customFormat="1" x14ac:dyDescent="0.25">
      <c r="B59" s="211" t="s">
        <v>232</v>
      </c>
      <c r="C59" s="209"/>
      <c r="D59" s="129"/>
      <c r="E59" s="129"/>
      <c r="G59" s="129"/>
      <c r="H59" s="129"/>
      <c r="I59" s="129"/>
      <c r="J59" s="129"/>
      <c r="K59" s="129"/>
      <c r="L59" s="129"/>
      <c r="M59" s="129"/>
    </row>
    <row r="60" spans="2:19" s="56" customFormat="1" x14ac:dyDescent="0.25">
      <c r="B60" s="210" t="s">
        <v>231</v>
      </c>
      <c r="C60" s="209"/>
      <c r="D60" s="129"/>
      <c r="E60" s="129"/>
      <c r="G60" s="129"/>
      <c r="H60" s="129"/>
      <c r="I60" s="129"/>
      <c r="J60" s="129"/>
      <c r="K60" s="129"/>
      <c r="L60" s="129"/>
      <c r="M60" s="129"/>
    </row>
    <row r="61" spans="2:19" s="56" customFormat="1" x14ac:dyDescent="0.25">
      <c r="B61" s="210" t="s">
        <v>230</v>
      </c>
      <c r="C61" s="209"/>
      <c r="D61" s="129"/>
      <c r="E61" s="129"/>
      <c r="G61" s="129"/>
      <c r="H61" s="129"/>
      <c r="I61" s="129"/>
      <c r="J61" s="129"/>
      <c r="K61" s="129"/>
      <c r="L61" s="129"/>
      <c r="M61" s="129"/>
    </row>
    <row r="62" spans="2:19" s="56" customFormat="1" x14ac:dyDescent="0.25">
      <c r="B62" s="210" t="s">
        <v>229</v>
      </c>
      <c r="C62" s="209"/>
      <c r="D62" s="129"/>
      <c r="E62" s="129"/>
      <c r="G62" s="129"/>
      <c r="H62" s="129"/>
      <c r="I62" s="129"/>
      <c r="J62" s="129"/>
      <c r="K62" s="129"/>
      <c r="L62" s="129"/>
      <c r="M62" s="129"/>
    </row>
    <row r="63" spans="2:19" s="56" customFormat="1" x14ac:dyDescent="0.25">
      <c r="C63" s="209"/>
      <c r="D63" s="129"/>
      <c r="E63" s="129"/>
      <c r="G63" s="129"/>
      <c r="H63" s="129"/>
      <c r="I63" s="129"/>
      <c r="J63" s="129"/>
      <c r="K63" s="129"/>
      <c r="L63" s="129"/>
      <c r="M63" s="129"/>
    </row>
    <row r="64" spans="2:19" ht="15.75" thickBot="1" x14ac:dyDescent="0.3"/>
    <row r="65" spans="2:25" ht="21.75" thickBot="1" x14ac:dyDescent="0.3">
      <c r="B65" s="22" t="s">
        <v>156</v>
      </c>
      <c r="C65" s="22" t="s">
        <v>75</v>
      </c>
      <c r="D65" s="23" t="s">
        <v>76</v>
      </c>
      <c r="F65" s="208" t="s">
        <v>77</v>
      </c>
      <c r="G65" s="23" t="s">
        <v>78</v>
      </c>
      <c r="H65" s="24" t="s">
        <v>81</v>
      </c>
      <c r="I65" s="24" t="s">
        <v>16</v>
      </c>
      <c r="J65" s="24" t="s">
        <v>19</v>
      </c>
      <c r="K65" s="24" t="s">
        <v>22</v>
      </c>
      <c r="L65" s="24" t="s">
        <v>41</v>
      </c>
      <c r="M65" s="24" t="s">
        <v>44</v>
      </c>
      <c r="N65" s="24" t="s">
        <v>47</v>
      </c>
      <c r="O65" s="24" t="s">
        <v>15</v>
      </c>
      <c r="P65" s="24" t="s">
        <v>56</v>
      </c>
      <c r="Q65" s="24" t="s">
        <v>117</v>
      </c>
      <c r="R65" s="24" t="s">
        <v>134</v>
      </c>
      <c r="S65" s="24" t="s">
        <v>138</v>
      </c>
      <c r="T65" s="24" t="s">
        <v>136</v>
      </c>
      <c r="U65" s="24" t="s">
        <v>135</v>
      </c>
      <c r="V65" s="24" t="s">
        <v>139</v>
      </c>
      <c r="W65" s="24" t="s">
        <v>91</v>
      </c>
      <c r="X65" s="26" t="s">
        <v>93</v>
      </c>
    </row>
    <row r="66" spans="2:25" ht="15.75" hidden="1" customHeight="1" outlineLevel="1" thickBot="1" x14ac:dyDescent="0.3">
      <c r="B66" s="329" t="s">
        <v>163</v>
      </c>
      <c r="C66" s="136">
        <v>2005</v>
      </c>
      <c r="D66" s="94">
        <v>3967418646.04</v>
      </c>
      <c r="F66" s="207">
        <v>323348200.51999998</v>
      </c>
      <c r="G66" s="95">
        <v>0</v>
      </c>
      <c r="H66" s="206">
        <v>25396508.280000001</v>
      </c>
      <c r="I66" s="94">
        <v>0</v>
      </c>
      <c r="J66" s="94">
        <v>0</v>
      </c>
      <c r="K66" s="94">
        <v>6962530.0499999998</v>
      </c>
      <c r="L66" s="94">
        <v>15681679.42</v>
      </c>
      <c r="M66" s="94">
        <v>796.4</v>
      </c>
      <c r="N66" s="94">
        <v>0</v>
      </c>
      <c r="O66" s="94">
        <v>2865.7</v>
      </c>
      <c r="P66" s="94">
        <v>0</v>
      </c>
      <c r="Q66" s="94">
        <v>0</v>
      </c>
      <c r="R66" s="206">
        <v>12237371.219999999</v>
      </c>
      <c r="S66" s="94">
        <v>213291.55</v>
      </c>
      <c r="T66" s="94">
        <v>507714.65</v>
      </c>
      <c r="U66" s="94">
        <v>580233.84</v>
      </c>
      <c r="V66" s="94">
        <v>640388.36</v>
      </c>
      <c r="W66" s="95">
        <v>62223379.469999999</v>
      </c>
      <c r="X66" s="95">
        <f t="shared" ref="X66:X82" si="24">+G66+W66</f>
        <v>62223379.469999999</v>
      </c>
      <c r="Y66" s="18">
        <f t="shared" ref="Y66:Y74" si="25">+W66-SUM(H66:V66)</f>
        <v>0</v>
      </c>
    </row>
    <row r="67" spans="2:25" ht="15.75" hidden="1" outlineLevel="1" thickBot="1" x14ac:dyDescent="0.3">
      <c r="B67" s="330"/>
      <c r="C67" s="136">
        <v>2006</v>
      </c>
      <c r="D67" s="94">
        <v>4366686874.21</v>
      </c>
      <c r="F67" s="207">
        <v>364084420.60000002</v>
      </c>
      <c r="G67" s="95">
        <v>0</v>
      </c>
      <c r="H67" s="206">
        <v>26747347.530000001</v>
      </c>
      <c r="I67" s="94">
        <v>0</v>
      </c>
      <c r="J67" s="94">
        <v>0</v>
      </c>
      <c r="K67" s="94">
        <v>7076678.1399999997</v>
      </c>
      <c r="L67" s="94">
        <v>19153429.449999999</v>
      </c>
      <c r="M67" s="94">
        <v>1753.26</v>
      </c>
      <c r="N67" s="94">
        <v>0</v>
      </c>
      <c r="O67" s="94">
        <v>98.77</v>
      </c>
      <c r="P67" s="94">
        <v>0</v>
      </c>
      <c r="Q67" s="94">
        <v>0</v>
      </c>
      <c r="R67" s="206">
        <v>12266377.43</v>
      </c>
      <c r="S67" s="94">
        <v>285653.92</v>
      </c>
      <c r="T67" s="94">
        <v>418983.99</v>
      </c>
      <c r="U67" s="94">
        <v>606594.77</v>
      </c>
      <c r="V67" s="94">
        <v>587037.49</v>
      </c>
      <c r="W67" s="95">
        <v>67143954.75</v>
      </c>
      <c r="X67" s="95">
        <f t="shared" si="24"/>
        <v>67143954.75</v>
      </c>
      <c r="Y67" s="18">
        <f t="shared" si="25"/>
        <v>0</v>
      </c>
    </row>
    <row r="68" spans="2:25" ht="15.75" hidden="1" outlineLevel="1" thickBot="1" x14ac:dyDescent="0.3">
      <c r="B68" s="330"/>
      <c r="C68" s="136">
        <v>2007</v>
      </c>
      <c r="D68" s="94">
        <v>4352968473.7200003</v>
      </c>
      <c r="F68" s="207">
        <v>367531498.35000002</v>
      </c>
      <c r="G68" s="95">
        <v>0</v>
      </c>
      <c r="H68" s="206">
        <v>35509848.439999998</v>
      </c>
      <c r="I68" s="94">
        <v>0</v>
      </c>
      <c r="J68" s="94">
        <v>0</v>
      </c>
      <c r="K68" s="94">
        <v>6610009.5499999998</v>
      </c>
      <c r="L68" s="94">
        <v>22442481.030000001</v>
      </c>
      <c r="M68" s="94">
        <v>171239.45</v>
      </c>
      <c r="N68" s="94">
        <v>0</v>
      </c>
      <c r="O68" s="94">
        <v>26.32</v>
      </c>
      <c r="P68" s="94">
        <v>0</v>
      </c>
      <c r="Q68" s="94">
        <v>0</v>
      </c>
      <c r="R68" s="206">
        <v>6078379.6000000015</v>
      </c>
      <c r="S68" s="94">
        <v>339149.69</v>
      </c>
      <c r="T68" s="94">
        <v>270566.62</v>
      </c>
      <c r="U68" s="94">
        <v>237411.12</v>
      </c>
      <c r="V68" s="94">
        <v>181646.26</v>
      </c>
      <c r="W68" s="95">
        <v>71840758.079999998</v>
      </c>
      <c r="X68" s="95">
        <f t="shared" si="24"/>
        <v>71840758.079999998</v>
      </c>
      <c r="Y68" s="18">
        <f t="shared" si="25"/>
        <v>0</v>
      </c>
    </row>
    <row r="69" spans="2:25" ht="15.75" hidden="1" outlineLevel="1" thickBot="1" x14ac:dyDescent="0.3">
      <c r="B69" s="330"/>
      <c r="C69" s="136">
        <v>2008</v>
      </c>
      <c r="D69" s="94">
        <v>4445573703.5799999</v>
      </c>
      <c r="F69" s="207">
        <v>375232895.51999998</v>
      </c>
      <c r="G69" s="95">
        <v>0</v>
      </c>
      <c r="H69" s="206">
        <v>38589682.640000001</v>
      </c>
      <c r="I69" s="94">
        <v>0</v>
      </c>
      <c r="J69" s="94">
        <v>0</v>
      </c>
      <c r="K69" s="94">
        <v>6918767.6600000001</v>
      </c>
      <c r="L69" s="94">
        <v>21046201.260000002</v>
      </c>
      <c r="M69" s="94">
        <v>1017.72</v>
      </c>
      <c r="N69" s="94">
        <v>0</v>
      </c>
      <c r="O69" s="94">
        <v>24.06</v>
      </c>
      <c r="P69" s="94">
        <v>0</v>
      </c>
      <c r="Q69" s="94">
        <v>0</v>
      </c>
      <c r="R69" s="206">
        <v>1727219.0600000024</v>
      </c>
      <c r="S69" s="94">
        <v>372557.19</v>
      </c>
      <c r="T69" s="94">
        <v>0.02</v>
      </c>
      <c r="U69" s="94">
        <v>0</v>
      </c>
      <c r="V69" s="94">
        <v>6913.01</v>
      </c>
      <c r="W69" s="95">
        <v>68662382.62000002</v>
      </c>
      <c r="X69" s="95">
        <f t="shared" si="24"/>
        <v>68662382.62000002</v>
      </c>
      <c r="Y69" s="18">
        <f t="shared" si="25"/>
        <v>0</v>
      </c>
    </row>
    <row r="70" spans="2:25" ht="15.75" hidden="1" outlineLevel="1" thickBot="1" x14ac:dyDescent="0.3">
      <c r="B70" s="330"/>
      <c r="C70" s="136">
        <v>2009</v>
      </c>
      <c r="D70" s="94">
        <v>4613581411.3599997</v>
      </c>
      <c r="F70" s="207">
        <v>387899089.68000001</v>
      </c>
      <c r="G70" s="95">
        <v>0</v>
      </c>
      <c r="H70" s="206">
        <v>37285465.100000001</v>
      </c>
      <c r="I70" s="94">
        <v>0</v>
      </c>
      <c r="J70" s="94">
        <v>0</v>
      </c>
      <c r="K70" s="94">
        <v>3683523.53</v>
      </c>
      <c r="L70" s="94">
        <v>22435844.100000001</v>
      </c>
      <c r="M70" s="94">
        <v>2252.06</v>
      </c>
      <c r="N70" s="94">
        <v>0</v>
      </c>
      <c r="O70" s="94">
        <v>11.57</v>
      </c>
      <c r="P70" s="94">
        <v>0</v>
      </c>
      <c r="Q70" s="94">
        <v>0</v>
      </c>
      <c r="R70" s="206">
        <v>1580750.7299999967</v>
      </c>
      <c r="S70" s="94">
        <v>392861.34</v>
      </c>
      <c r="T70" s="94">
        <v>0</v>
      </c>
      <c r="U70" s="94">
        <v>0</v>
      </c>
      <c r="V70" s="94">
        <v>3978.45</v>
      </c>
      <c r="W70" s="95">
        <v>65384686.88000001</v>
      </c>
      <c r="X70" s="95">
        <f t="shared" si="24"/>
        <v>65384686.88000001</v>
      </c>
      <c r="Y70" s="18">
        <f t="shared" si="25"/>
        <v>0</v>
      </c>
    </row>
    <row r="71" spans="2:25" ht="15.75" hidden="1" outlineLevel="1" thickBot="1" x14ac:dyDescent="0.3">
      <c r="B71" s="330"/>
      <c r="C71" s="136">
        <v>2010</v>
      </c>
      <c r="D71" s="94">
        <v>4723013429.3599997</v>
      </c>
      <c r="F71" s="207">
        <v>407073950.49000001</v>
      </c>
      <c r="G71" s="95">
        <v>0</v>
      </c>
      <c r="H71" s="206">
        <v>35239278.869999997</v>
      </c>
      <c r="I71" s="94">
        <v>0</v>
      </c>
      <c r="J71" s="94">
        <v>0</v>
      </c>
      <c r="K71" s="94">
        <v>2074728.59</v>
      </c>
      <c r="L71" s="94">
        <v>23557720.710000001</v>
      </c>
      <c r="M71" s="94">
        <v>1532.32</v>
      </c>
      <c r="N71" s="94">
        <v>0</v>
      </c>
      <c r="O71" s="94">
        <v>213931.8</v>
      </c>
      <c r="P71" s="94">
        <v>0</v>
      </c>
      <c r="Q71" s="94">
        <v>0</v>
      </c>
      <c r="R71" s="206">
        <v>1524865.1200000048</v>
      </c>
      <c r="S71" s="94">
        <v>318298.88</v>
      </c>
      <c r="T71" s="94">
        <v>0</v>
      </c>
      <c r="U71" s="94">
        <v>0</v>
      </c>
      <c r="V71" s="94">
        <v>3313.49</v>
      </c>
      <c r="W71" s="95">
        <v>62933669.780000009</v>
      </c>
      <c r="X71" s="95">
        <f t="shared" si="24"/>
        <v>62933669.780000009</v>
      </c>
      <c r="Y71" s="18">
        <f t="shared" si="25"/>
        <v>0</v>
      </c>
    </row>
    <row r="72" spans="2:25" ht="15.75" hidden="1" outlineLevel="1" thickBot="1" x14ac:dyDescent="0.3">
      <c r="B72" s="330"/>
      <c r="C72" s="136">
        <v>2011</v>
      </c>
      <c r="D72" s="94">
        <v>4988007891.8699999</v>
      </c>
      <c r="F72" s="207">
        <v>434415889.69</v>
      </c>
      <c r="G72" s="95">
        <v>0</v>
      </c>
      <c r="H72" s="206">
        <v>31704955.48</v>
      </c>
      <c r="I72" s="94">
        <v>0</v>
      </c>
      <c r="J72" s="94">
        <v>0</v>
      </c>
      <c r="K72" s="94">
        <v>1280195.29</v>
      </c>
      <c r="L72" s="94">
        <v>27089175.260000002</v>
      </c>
      <c r="M72" s="94">
        <v>212782.48</v>
      </c>
      <c r="N72" s="94">
        <v>0</v>
      </c>
      <c r="O72" s="94">
        <v>1131064.8</v>
      </c>
      <c r="P72" s="94">
        <v>0</v>
      </c>
      <c r="Q72" s="94">
        <v>0</v>
      </c>
      <c r="R72" s="206">
        <v>1260532.5399999991</v>
      </c>
      <c r="S72" s="94">
        <v>346004.7</v>
      </c>
      <c r="T72" s="94">
        <v>0</v>
      </c>
      <c r="U72" s="94">
        <v>0</v>
      </c>
      <c r="V72" s="94">
        <v>58</v>
      </c>
      <c r="W72" s="95">
        <v>63024768.549999997</v>
      </c>
      <c r="X72" s="95">
        <f t="shared" si="24"/>
        <v>63024768.549999997</v>
      </c>
      <c r="Y72" s="18">
        <f t="shared" si="25"/>
        <v>0</v>
      </c>
    </row>
    <row r="73" spans="2:25" ht="15.75" collapsed="1" thickBot="1" x14ac:dyDescent="0.3">
      <c r="B73" s="330"/>
      <c r="C73" s="136">
        <v>2012</v>
      </c>
      <c r="D73" s="94">
        <v>5113108047.9899998</v>
      </c>
      <c r="F73" s="207">
        <f>VLOOKUP(C73,RevAudGGR!$A$6:$C$24,3,0)</f>
        <v>448653907.09000003</v>
      </c>
      <c r="G73" s="95">
        <v>0</v>
      </c>
      <c r="H73" s="206">
        <v>29423378.050000001</v>
      </c>
      <c r="I73" s="94">
        <v>0</v>
      </c>
      <c r="J73" s="94">
        <v>0</v>
      </c>
      <c r="K73" s="94">
        <v>1164470.1599999999</v>
      </c>
      <c r="L73" s="94">
        <v>29691526.02</v>
      </c>
      <c r="M73" s="94">
        <v>142063.82</v>
      </c>
      <c r="N73" s="94">
        <v>0</v>
      </c>
      <c r="O73" s="94">
        <v>47633.25</v>
      </c>
      <c r="P73" s="94">
        <v>0</v>
      </c>
      <c r="Q73" s="94">
        <v>0</v>
      </c>
      <c r="R73" s="206">
        <v>1103446.9699999988</v>
      </c>
      <c r="S73" s="94">
        <v>34450</v>
      </c>
      <c r="T73" s="94">
        <v>0</v>
      </c>
      <c r="U73" s="94">
        <v>0</v>
      </c>
      <c r="V73" s="94">
        <v>0</v>
      </c>
      <c r="W73" s="95">
        <v>61606968.269999996</v>
      </c>
      <c r="X73" s="95">
        <f t="shared" si="24"/>
        <v>61606968.269999996</v>
      </c>
      <c r="Y73" s="18">
        <f t="shared" si="25"/>
        <v>0</v>
      </c>
    </row>
    <row r="74" spans="2:25" ht="15.75" thickBot="1" x14ac:dyDescent="0.3">
      <c r="B74" s="331"/>
      <c r="C74" s="136">
        <v>2013</v>
      </c>
      <c r="D74" s="94">
        <v>5111331229.8400002</v>
      </c>
      <c r="F74" s="207">
        <f>VLOOKUP(C74,RevAudGGR!$A$6:$C$24,3,0)</f>
        <v>442092705.80000001</v>
      </c>
      <c r="G74" s="95">
        <v>7444824.2800000003</v>
      </c>
      <c r="H74" s="206">
        <v>24588062.73</v>
      </c>
      <c r="I74" s="94">
        <v>0</v>
      </c>
      <c r="J74" s="94">
        <v>0</v>
      </c>
      <c r="K74" s="94">
        <v>1287715.49</v>
      </c>
      <c r="L74" s="94">
        <v>34318658.659999996</v>
      </c>
      <c r="M74" s="94">
        <v>229925.7</v>
      </c>
      <c r="N74" s="94">
        <v>0</v>
      </c>
      <c r="O74" s="94">
        <v>80.25</v>
      </c>
      <c r="P74" s="94">
        <v>0</v>
      </c>
      <c r="Q74" s="94">
        <v>0</v>
      </c>
      <c r="R74" s="206">
        <v>914427.84999999776</v>
      </c>
      <c r="S74" s="94">
        <v>150.01</v>
      </c>
      <c r="T74" s="94">
        <v>0</v>
      </c>
      <c r="U74" s="94">
        <v>0</v>
      </c>
      <c r="V74" s="94">
        <v>0</v>
      </c>
      <c r="W74" s="95">
        <v>61339020.689999998</v>
      </c>
      <c r="X74" s="95">
        <f t="shared" si="24"/>
        <v>68783844.969999999</v>
      </c>
      <c r="Y74" s="18">
        <f t="shared" si="25"/>
        <v>0</v>
      </c>
    </row>
    <row r="75" spans="2:25" ht="15.75" thickBot="1" x14ac:dyDescent="0.3">
      <c r="B75" s="329" t="s">
        <v>160</v>
      </c>
      <c r="C75" s="137">
        <v>2014</v>
      </c>
      <c r="D75" s="27">
        <v>5177345265.75</v>
      </c>
      <c r="F75" s="205">
        <f>VLOOKUP(C75,RevAudGGR!$A$6:$C$24,3,0)</f>
        <v>431416086.17000002</v>
      </c>
      <c r="G75" s="29">
        <v>11102225.42</v>
      </c>
      <c r="H75" s="28">
        <v>24743868.59</v>
      </c>
      <c r="I75" s="28">
        <v>0</v>
      </c>
      <c r="J75" s="28">
        <v>888932.95000000019</v>
      </c>
      <c r="K75" s="28">
        <v>2992002.5799999996</v>
      </c>
      <c r="L75" s="28">
        <v>44122042.634999998</v>
      </c>
      <c r="M75" s="28">
        <v>70556.784999999989</v>
      </c>
      <c r="N75" s="28">
        <v>0</v>
      </c>
      <c r="O75" s="28">
        <v>0</v>
      </c>
      <c r="P75" s="28">
        <v>0</v>
      </c>
      <c r="Q75" s="28">
        <v>0</v>
      </c>
      <c r="R75" s="28">
        <v>0</v>
      </c>
      <c r="S75" s="28">
        <v>0</v>
      </c>
      <c r="T75" s="28">
        <v>0</v>
      </c>
      <c r="U75" s="28">
        <v>0</v>
      </c>
      <c r="V75" s="28">
        <v>0</v>
      </c>
      <c r="W75" s="29">
        <f t="shared" ref="W75:W82" si="26">SUM(H75:V75)</f>
        <v>72817403.539999992</v>
      </c>
      <c r="X75" s="29">
        <f t="shared" si="24"/>
        <v>83919628.959999993</v>
      </c>
      <c r="Y75" s="96"/>
    </row>
    <row r="76" spans="2:25" ht="15.75" thickBot="1" x14ac:dyDescent="0.3">
      <c r="B76" s="330"/>
      <c r="C76" s="137">
        <v>2015</v>
      </c>
      <c r="D76" s="27">
        <v>5402537959.9499998</v>
      </c>
      <c r="F76" s="205">
        <f>VLOOKUP(C76,RevAudGGR!$A$6:$C$24,3,0)</f>
        <v>446232358.93000001</v>
      </c>
      <c r="G76" s="29">
        <v>12603982.529999999</v>
      </c>
      <c r="H76" s="28">
        <v>25889559.420000002</v>
      </c>
      <c r="I76" s="28">
        <v>0</v>
      </c>
      <c r="J76" s="28">
        <v>849687.19000000006</v>
      </c>
      <c r="K76" s="28">
        <v>2786345.59</v>
      </c>
      <c r="L76" s="28">
        <v>46710591.099999994</v>
      </c>
      <c r="M76" s="28">
        <v>376000.33999999997</v>
      </c>
      <c r="N76" s="28">
        <v>0</v>
      </c>
      <c r="O76" s="28">
        <v>150044.60999999999</v>
      </c>
      <c r="P76" s="28">
        <v>0</v>
      </c>
      <c r="Q76" s="28">
        <v>0</v>
      </c>
      <c r="R76" s="28">
        <v>0</v>
      </c>
      <c r="S76" s="28">
        <v>0</v>
      </c>
      <c r="T76" s="28">
        <v>0</v>
      </c>
      <c r="U76" s="28">
        <v>0</v>
      </c>
      <c r="V76" s="28">
        <v>0</v>
      </c>
      <c r="W76" s="29">
        <f t="shared" si="26"/>
        <v>76762228.25</v>
      </c>
      <c r="X76" s="29">
        <f t="shared" si="24"/>
        <v>89366210.780000001</v>
      </c>
      <c r="Y76" s="96"/>
    </row>
    <row r="77" spans="2:25" ht="15.75" thickBot="1" x14ac:dyDescent="0.3">
      <c r="B77" s="330"/>
      <c r="C77" s="137">
        <v>2016</v>
      </c>
      <c r="D77" s="27">
        <v>5514933568.9899998</v>
      </c>
      <c r="F77" s="205">
        <f>VLOOKUP(C77,RevAudGGR!$A$6:$C$24,3,0)</f>
        <v>459405709.23000002</v>
      </c>
      <c r="G77" s="29">
        <v>12624702.859999999</v>
      </c>
      <c r="H77" s="28">
        <v>25141504.650000002</v>
      </c>
      <c r="I77" s="28">
        <v>0</v>
      </c>
      <c r="J77" s="28">
        <v>819669.81000000017</v>
      </c>
      <c r="K77" s="28">
        <v>2986128.7900000005</v>
      </c>
      <c r="L77" s="28">
        <v>46065714.960000008</v>
      </c>
      <c r="M77" s="28">
        <v>1464424.1600000001</v>
      </c>
      <c r="N77" s="28">
        <v>0</v>
      </c>
      <c r="O77" s="28">
        <v>631177.99</v>
      </c>
      <c r="P77" s="28">
        <v>0</v>
      </c>
      <c r="Q77" s="28">
        <v>0</v>
      </c>
      <c r="R77" s="28">
        <v>0</v>
      </c>
      <c r="S77" s="28">
        <v>0</v>
      </c>
      <c r="T77" s="28">
        <v>0</v>
      </c>
      <c r="U77" s="28">
        <v>0</v>
      </c>
      <c r="V77" s="28">
        <v>0</v>
      </c>
      <c r="W77" s="29">
        <f t="shared" si="26"/>
        <v>77108620.359999999</v>
      </c>
      <c r="X77" s="29">
        <f t="shared" si="24"/>
        <v>89733323.219999999</v>
      </c>
      <c r="Y77" s="96"/>
    </row>
    <row r="78" spans="2:25" ht="15.75" thickBot="1" x14ac:dyDescent="0.3">
      <c r="B78" s="330"/>
      <c r="C78" s="137">
        <v>2017</v>
      </c>
      <c r="D78" s="27">
        <v>5468326234.6000004</v>
      </c>
      <c r="F78" s="205">
        <f>VLOOKUP(C78,RevAudGGR!$A$6:$C$24,3,0)</f>
        <v>444971488.89999998</v>
      </c>
      <c r="G78" s="29">
        <v>11221333.98</v>
      </c>
      <c r="H78" s="28">
        <v>22857874.880000003</v>
      </c>
      <c r="I78" s="28">
        <v>0</v>
      </c>
      <c r="J78" s="28">
        <v>821772.76</v>
      </c>
      <c r="K78" s="28">
        <v>2553433.17</v>
      </c>
      <c r="L78" s="28">
        <v>52378458.169999994</v>
      </c>
      <c r="M78" s="28">
        <v>1504659.17</v>
      </c>
      <c r="N78" s="28">
        <v>272588.11</v>
      </c>
      <c r="O78" s="28">
        <v>1023253.4699999999</v>
      </c>
      <c r="P78" s="28">
        <v>0</v>
      </c>
      <c r="Q78" s="28">
        <v>0</v>
      </c>
      <c r="R78" s="28">
        <v>0</v>
      </c>
      <c r="S78" s="28">
        <v>0</v>
      </c>
      <c r="T78" s="28">
        <v>0</v>
      </c>
      <c r="U78" s="28">
        <v>0</v>
      </c>
      <c r="V78" s="28">
        <v>0</v>
      </c>
      <c r="W78" s="29">
        <f t="shared" si="26"/>
        <v>81412039.729999989</v>
      </c>
      <c r="X78" s="29">
        <f t="shared" si="24"/>
        <v>92633373.709999993</v>
      </c>
      <c r="Y78" s="96"/>
    </row>
    <row r="79" spans="2:25" ht="15.75" thickBot="1" x14ac:dyDescent="0.3">
      <c r="B79" s="330"/>
      <c r="C79" s="137">
        <v>2018</v>
      </c>
      <c r="D79" s="27">
        <v>5551893797.1499996</v>
      </c>
      <c r="F79" s="205">
        <f>VLOOKUP(C79,RevAudGGR!$A$6:$C$24,3,0)</f>
        <v>445501101.96999997</v>
      </c>
      <c r="G79" s="29">
        <v>11761352.43</v>
      </c>
      <c r="H79" s="28">
        <v>22650779.199999999</v>
      </c>
      <c r="I79" s="28">
        <v>0.04</v>
      </c>
      <c r="J79" s="28">
        <v>759547.15999999992</v>
      </c>
      <c r="K79" s="28">
        <v>1427504.9999999998</v>
      </c>
      <c r="L79" s="28">
        <v>51975553.07</v>
      </c>
      <c r="M79" s="28">
        <v>1177060.4199999997</v>
      </c>
      <c r="N79" s="28">
        <v>2487372.75</v>
      </c>
      <c r="O79" s="28">
        <v>623242.80000000005</v>
      </c>
      <c r="P79" s="28">
        <v>301555</v>
      </c>
      <c r="Q79" s="28">
        <v>187540</v>
      </c>
      <c r="R79" s="28">
        <v>0</v>
      </c>
      <c r="S79" s="28">
        <v>0</v>
      </c>
      <c r="T79" s="28">
        <v>0</v>
      </c>
      <c r="U79" s="28">
        <v>0</v>
      </c>
      <c r="V79" s="28">
        <v>0</v>
      </c>
      <c r="W79" s="29">
        <f t="shared" si="26"/>
        <v>81590155.439999998</v>
      </c>
      <c r="X79" s="29">
        <f t="shared" si="24"/>
        <v>93351507.870000005</v>
      </c>
      <c r="Y79" s="96"/>
    </row>
    <row r="80" spans="2:25" ht="15.75" thickBot="1" x14ac:dyDescent="0.3">
      <c r="B80" s="330"/>
      <c r="C80" s="137">
        <v>2019</v>
      </c>
      <c r="D80" s="27">
        <v>5851909080.8599997</v>
      </c>
      <c r="F80" s="205">
        <f>VLOOKUP(C80,RevAudGGR!$A$6:$C$24,3,0)</f>
        <v>459129221.54000008</v>
      </c>
      <c r="G80" s="29">
        <v>12795304.5</v>
      </c>
      <c r="H80" s="28">
        <v>22619373.930000003</v>
      </c>
      <c r="I80" s="28">
        <v>58229.979999999989</v>
      </c>
      <c r="J80" s="28">
        <v>783273.75</v>
      </c>
      <c r="K80" s="28">
        <v>1125856.94</v>
      </c>
      <c r="L80" s="28">
        <v>47592059.719999999</v>
      </c>
      <c r="M80" s="28">
        <v>418367.24</v>
      </c>
      <c r="N80" s="28">
        <v>2927373.8799999994</v>
      </c>
      <c r="O80" s="28">
        <v>278031.09000000003</v>
      </c>
      <c r="P80" s="28">
        <v>549340</v>
      </c>
      <c r="Q80" s="28">
        <v>0</v>
      </c>
      <c r="R80" s="28">
        <v>0</v>
      </c>
      <c r="S80" s="28">
        <v>0</v>
      </c>
      <c r="T80" s="28">
        <v>0</v>
      </c>
      <c r="U80" s="28">
        <v>0</v>
      </c>
      <c r="V80" s="28">
        <v>0</v>
      </c>
      <c r="W80" s="29">
        <f t="shared" si="26"/>
        <v>76351906.530000001</v>
      </c>
      <c r="X80" s="29">
        <f t="shared" si="24"/>
        <v>89147211.030000001</v>
      </c>
      <c r="Y80" s="96"/>
    </row>
    <row r="81" spans="2:25" ht="15.75" thickBot="1" x14ac:dyDescent="0.3">
      <c r="B81" s="330"/>
      <c r="C81" s="137">
        <v>2020</v>
      </c>
      <c r="D81" s="27">
        <v>4460847923.75</v>
      </c>
      <c r="F81" s="205">
        <f>VLOOKUP(C81,RevAudGGR!$A$6:$C$24,3,0)</f>
        <v>339589388.06900007</v>
      </c>
      <c r="G81" s="29">
        <v>8680347.8100000005</v>
      </c>
      <c r="H81" s="28">
        <v>15328608.969999999</v>
      </c>
      <c r="I81" s="28">
        <v>26.98</v>
      </c>
      <c r="J81" s="28">
        <v>549023.60000000009</v>
      </c>
      <c r="K81" s="28">
        <v>805370.31</v>
      </c>
      <c r="L81" s="28">
        <v>37874039.150000006</v>
      </c>
      <c r="M81" s="28">
        <v>886496.18999999983</v>
      </c>
      <c r="N81" s="28">
        <v>2021167.62</v>
      </c>
      <c r="O81" s="28">
        <v>181002.77000000002</v>
      </c>
      <c r="P81" s="28">
        <v>398667</v>
      </c>
      <c r="Q81" s="28">
        <v>0</v>
      </c>
      <c r="R81" s="28">
        <v>0</v>
      </c>
      <c r="S81" s="28">
        <v>0</v>
      </c>
      <c r="T81" s="28">
        <v>0</v>
      </c>
      <c r="U81" s="28">
        <v>0</v>
      </c>
      <c r="V81" s="28">
        <v>0</v>
      </c>
      <c r="W81" s="29">
        <f t="shared" si="26"/>
        <v>58044402.590000004</v>
      </c>
      <c r="X81" s="29">
        <f t="shared" si="24"/>
        <v>66724750.400000006</v>
      </c>
      <c r="Y81" s="96"/>
    </row>
    <row r="82" spans="2:25" ht="15.75" thickBot="1" x14ac:dyDescent="0.3">
      <c r="B82" s="331"/>
      <c r="C82" s="137">
        <v>2021</v>
      </c>
      <c r="D82" s="27">
        <v>1962426836.3299999</v>
      </c>
      <c r="F82" s="205">
        <f>VLOOKUP(C82,RevAudGGR!$A$6:$C$24,3,0)</f>
        <v>158206824.42000002</v>
      </c>
      <c r="G82" s="122">
        <v>2783385.02</v>
      </c>
      <c r="H82" s="28">
        <v>802276.54</v>
      </c>
      <c r="I82" s="28">
        <v>1.54</v>
      </c>
      <c r="J82" s="28">
        <v>5865</v>
      </c>
      <c r="K82" s="28">
        <v>0</v>
      </c>
      <c r="L82" s="28">
        <v>11249585.810000001</v>
      </c>
      <c r="M82" s="28">
        <v>1347.48</v>
      </c>
      <c r="N82" s="28">
        <v>180798.6</v>
      </c>
      <c r="O82" s="28">
        <v>0</v>
      </c>
      <c r="P82" s="28">
        <v>56315</v>
      </c>
      <c r="Q82" s="28">
        <v>0</v>
      </c>
      <c r="R82" s="28">
        <v>0</v>
      </c>
      <c r="S82" s="28">
        <v>0</v>
      </c>
      <c r="T82" s="28">
        <v>0</v>
      </c>
      <c r="U82" s="28">
        <v>0</v>
      </c>
      <c r="V82" s="28">
        <v>0</v>
      </c>
      <c r="W82" s="29">
        <f t="shared" si="26"/>
        <v>12296189.970000001</v>
      </c>
      <c r="X82" s="29">
        <f t="shared" si="24"/>
        <v>15079574.99</v>
      </c>
      <c r="Y82" s="96"/>
    </row>
    <row r="83" spans="2:25" ht="15.75" thickBot="1" x14ac:dyDescent="0.3">
      <c r="B83" s="204"/>
      <c r="C83" s="132" t="s">
        <v>228</v>
      </c>
      <c r="D83" s="132">
        <f>SUM(D73:D82)</f>
        <v>49614659945.209999</v>
      </c>
      <c r="F83" s="132">
        <f t="shared" ref="F83:X83" si="27">SUM(F73:F82)</f>
        <v>4075198792.1190004</v>
      </c>
      <c r="G83" s="132">
        <f t="shared" si="27"/>
        <v>91017458.829999998</v>
      </c>
      <c r="H83" s="132">
        <f t="shared" si="27"/>
        <v>214045286.96000001</v>
      </c>
      <c r="I83" s="132">
        <f t="shared" si="27"/>
        <v>58258.539999999994</v>
      </c>
      <c r="J83" s="132">
        <f t="shared" si="27"/>
        <v>5477772.2200000007</v>
      </c>
      <c r="K83" s="132">
        <f t="shared" si="27"/>
        <v>17128828.029999997</v>
      </c>
      <c r="L83" s="132">
        <f t="shared" si="27"/>
        <v>401978229.29500002</v>
      </c>
      <c r="M83" s="132">
        <f t="shared" si="27"/>
        <v>6270901.3049999997</v>
      </c>
      <c r="N83" s="132">
        <f t="shared" si="27"/>
        <v>7889300.959999999</v>
      </c>
      <c r="O83" s="132">
        <f t="shared" si="27"/>
        <v>2934466.23</v>
      </c>
      <c r="P83" s="132">
        <f t="shared" si="27"/>
        <v>1305877</v>
      </c>
      <c r="Q83" s="132">
        <f t="shared" si="27"/>
        <v>187540</v>
      </c>
      <c r="R83" s="132">
        <f t="shared" si="27"/>
        <v>2017874.8199999966</v>
      </c>
      <c r="S83" s="132">
        <f t="shared" si="27"/>
        <v>34600.01</v>
      </c>
      <c r="T83" s="132">
        <f t="shared" si="27"/>
        <v>0</v>
      </c>
      <c r="U83" s="132">
        <f t="shared" si="27"/>
        <v>0</v>
      </c>
      <c r="V83" s="132">
        <f t="shared" si="27"/>
        <v>0</v>
      </c>
      <c r="W83" s="132">
        <f t="shared" si="27"/>
        <v>659328935.37000012</v>
      </c>
      <c r="X83" s="132">
        <f t="shared" si="27"/>
        <v>750346394.19999993</v>
      </c>
    </row>
    <row r="84" spans="2:25" ht="21.75" hidden="1" customHeight="1" thickBot="1" x14ac:dyDescent="0.3">
      <c r="B84" s="203" t="s">
        <v>75</v>
      </c>
      <c r="D84" s="23" t="s">
        <v>76</v>
      </c>
      <c r="E84" s="23" t="s">
        <v>77</v>
      </c>
      <c r="F84" s="23"/>
      <c r="G84" s="123" t="s">
        <v>78</v>
      </c>
      <c r="H84" s="24" t="s">
        <v>134</v>
      </c>
      <c r="I84" s="24" t="s">
        <v>16</v>
      </c>
      <c r="J84" s="24" t="s">
        <v>22</v>
      </c>
      <c r="K84" s="24" t="s">
        <v>41</v>
      </c>
      <c r="L84" s="24" t="s">
        <v>44</v>
      </c>
      <c r="M84" s="24" t="s">
        <v>47</v>
      </c>
      <c r="N84" s="24" t="s">
        <v>15</v>
      </c>
      <c r="O84" s="24" t="s">
        <v>56</v>
      </c>
      <c r="P84" s="24" t="s">
        <v>117</v>
      </c>
      <c r="Q84" s="24" t="s">
        <v>138</v>
      </c>
      <c r="R84" s="24" t="s">
        <v>136</v>
      </c>
      <c r="S84" s="24" t="s">
        <v>135</v>
      </c>
      <c r="T84" s="24" t="s">
        <v>139</v>
      </c>
      <c r="U84" s="24" t="s">
        <v>91</v>
      </c>
      <c r="V84" s="26" t="s">
        <v>93</v>
      </c>
      <c r="W84" s="109" t="s">
        <v>152</v>
      </c>
      <c r="X84" s="108" t="s">
        <v>151</v>
      </c>
      <c r="Y84" s="196" t="s">
        <v>150</v>
      </c>
    </row>
    <row r="85" spans="2:25" ht="15.75" hidden="1" customHeight="1" thickBot="1" x14ac:dyDescent="0.3">
      <c r="B85" s="98">
        <v>2005</v>
      </c>
      <c r="D85" s="94">
        <v>3967418646.04</v>
      </c>
      <c r="E85" s="94">
        <v>323348200.51999998</v>
      </c>
      <c r="F85" s="94"/>
      <c r="G85" s="95">
        <v>0</v>
      </c>
      <c r="H85" s="94">
        <v>27100608</v>
      </c>
      <c r="I85" s="94">
        <v>0</v>
      </c>
      <c r="J85" s="94">
        <v>7084530</v>
      </c>
      <c r="K85" s="94">
        <v>15688126</v>
      </c>
      <c r="L85" s="94">
        <v>0</v>
      </c>
      <c r="M85" s="94">
        <v>0</v>
      </c>
      <c r="N85" s="94">
        <v>0</v>
      </c>
      <c r="O85" s="94">
        <v>0</v>
      </c>
      <c r="P85" s="94">
        <v>0</v>
      </c>
      <c r="Q85" s="94">
        <v>216650</v>
      </c>
      <c r="R85" s="94">
        <v>524110</v>
      </c>
      <c r="S85" s="94">
        <v>585149</v>
      </c>
      <c r="T85" s="94">
        <v>693690</v>
      </c>
      <c r="U85" s="95">
        <f t="shared" ref="U85:U101" si="28">+SUM(H85:T85)</f>
        <v>51892863</v>
      </c>
      <c r="V85" s="95">
        <f t="shared" ref="V85:V101" si="29">+G85+U85</f>
        <v>51892863</v>
      </c>
      <c r="W85" s="107">
        <f t="shared" ref="W85:W93" si="30">+U85-X85</f>
        <v>0</v>
      </c>
      <c r="X85" s="106">
        <v>51892863</v>
      </c>
      <c r="Y85" s="106">
        <f t="shared" ref="Y85:Y93" si="31">+X85-U85</f>
        <v>0</v>
      </c>
    </row>
    <row r="86" spans="2:25" ht="15.75" hidden="1" customHeight="1" thickBot="1" x14ac:dyDescent="0.3">
      <c r="B86" s="98">
        <v>2006</v>
      </c>
      <c r="D86" s="94">
        <v>4366686874.21</v>
      </c>
      <c r="E86" s="94">
        <v>364084420.60000002</v>
      </c>
      <c r="F86" s="94"/>
      <c r="G86" s="95">
        <v>0</v>
      </c>
      <c r="H86" s="94">
        <v>28608578</v>
      </c>
      <c r="I86" s="94">
        <v>0</v>
      </c>
      <c r="J86" s="94">
        <v>7197495</v>
      </c>
      <c r="K86" s="94">
        <v>19167581.640000001</v>
      </c>
      <c r="L86" s="94">
        <v>0</v>
      </c>
      <c r="M86" s="94">
        <v>0</v>
      </c>
      <c r="N86" s="94">
        <v>0</v>
      </c>
      <c r="O86" s="94">
        <v>0</v>
      </c>
      <c r="P86" s="94">
        <v>0</v>
      </c>
      <c r="Q86" s="94">
        <v>287850</v>
      </c>
      <c r="R86" s="94">
        <v>433285</v>
      </c>
      <c r="S86" s="94">
        <v>615000</v>
      </c>
      <c r="T86" s="94">
        <v>641815</v>
      </c>
      <c r="U86" s="95">
        <f t="shared" si="28"/>
        <v>56951604.640000001</v>
      </c>
      <c r="V86" s="95">
        <f t="shared" si="29"/>
        <v>56951604.640000001</v>
      </c>
      <c r="W86" s="107">
        <f t="shared" si="30"/>
        <v>0</v>
      </c>
      <c r="X86" s="106">
        <v>56951604.640000001</v>
      </c>
      <c r="Y86" s="106">
        <f t="shared" si="31"/>
        <v>0</v>
      </c>
    </row>
    <row r="87" spans="2:25" ht="15.75" hidden="1" customHeight="1" thickBot="1" x14ac:dyDescent="0.3">
      <c r="B87" s="98">
        <v>2007</v>
      </c>
      <c r="D87" s="94">
        <v>4352968473.7200003</v>
      </c>
      <c r="E87" s="94">
        <v>367531498.35000002</v>
      </c>
      <c r="F87" s="94"/>
      <c r="G87" s="95">
        <v>0</v>
      </c>
      <c r="H87" s="94">
        <v>37618409</v>
      </c>
      <c r="I87" s="94">
        <v>0</v>
      </c>
      <c r="J87" s="94">
        <v>6731198</v>
      </c>
      <c r="K87" s="94">
        <v>22448587</v>
      </c>
      <c r="L87" s="94">
        <v>0</v>
      </c>
      <c r="M87" s="94">
        <v>0</v>
      </c>
      <c r="N87" s="94">
        <v>0</v>
      </c>
      <c r="O87" s="94">
        <v>0</v>
      </c>
      <c r="P87" s="94">
        <v>0</v>
      </c>
      <c r="Q87" s="94">
        <v>342700</v>
      </c>
      <c r="R87" s="94">
        <v>279960</v>
      </c>
      <c r="S87" s="94">
        <v>241232</v>
      </c>
      <c r="T87" s="94">
        <v>197160</v>
      </c>
      <c r="U87" s="95">
        <f t="shared" si="28"/>
        <v>67859246</v>
      </c>
      <c r="V87" s="95">
        <f t="shared" si="29"/>
        <v>67859246</v>
      </c>
      <c r="W87" s="107">
        <f t="shared" si="30"/>
        <v>0</v>
      </c>
      <c r="X87" s="106">
        <v>67859246</v>
      </c>
      <c r="Y87" s="106">
        <f t="shared" si="31"/>
        <v>0</v>
      </c>
    </row>
    <row r="88" spans="2:25" ht="15.75" hidden="1" customHeight="1" thickBot="1" x14ac:dyDescent="0.3">
      <c r="B88" s="98">
        <v>2008</v>
      </c>
      <c r="D88" s="94">
        <v>4445573703.5799999</v>
      </c>
      <c r="E88" s="94">
        <v>375232895.51999998</v>
      </c>
      <c r="F88" s="94"/>
      <c r="G88" s="95">
        <v>0</v>
      </c>
      <c r="H88" s="94">
        <v>40613652</v>
      </c>
      <c r="I88" s="94">
        <v>0</v>
      </c>
      <c r="J88" s="94">
        <v>7033710</v>
      </c>
      <c r="K88" s="94">
        <v>21050329</v>
      </c>
      <c r="L88" s="94">
        <v>0</v>
      </c>
      <c r="M88" s="94">
        <v>0</v>
      </c>
      <c r="N88" s="94">
        <v>0</v>
      </c>
      <c r="O88" s="94">
        <v>0</v>
      </c>
      <c r="P88" s="94">
        <v>0</v>
      </c>
      <c r="Q88" s="94">
        <v>377700</v>
      </c>
      <c r="R88" s="94">
        <v>0</v>
      </c>
      <c r="S88" s="94">
        <v>0</v>
      </c>
      <c r="T88" s="94">
        <v>4680</v>
      </c>
      <c r="U88" s="95">
        <f t="shared" si="28"/>
        <v>69080071</v>
      </c>
      <c r="V88" s="95">
        <f t="shared" si="29"/>
        <v>69080071</v>
      </c>
      <c r="W88" s="107">
        <f t="shared" si="30"/>
        <v>0</v>
      </c>
      <c r="X88" s="106">
        <v>69080071</v>
      </c>
      <c r="Y88" s="106">
        <f t="shared" si="31"/>
        <v>0</v>
      </c>
    </row>
    <row r="89" spans="2:25" ht="15.75" hidden="1" customHeight="1" thickBot="1" x14ac:dyDescent="0.3">
      <c r="B89" s="98">
        <v>2009</v>
      </c>
      <c r="D89" s="94">
        <v>4613581411.3599997</v>
      </c>
      <c r="E89" s="94">
        <v>387899089.68000001</v>
      </c>
      <c r="F89" s="94"/>
      <c r="G89" s="95">
        <v>0</v>
      </c>
      <c r="H89" s="94">
        <v>39117084</v>
      </c>
      <c r="I89" s="94">
        <v>0</v>
      </c>
      <c r="J89" s="94">
        <v>3772835</v>
      </c>
      <c r="K89" s="94">
        <v>22439172</v>
      </c>
      <c r="L89" s="94">
        <v>0</v>
      </c>
      <c r="M89" s="94">
        <v>0</v>
      </c>
      <c r="N89" s="94">
        <v>0</v>
      </c>
      <c r="O89" s="94">
        <v>0</v>
      </c>
      <c r="P89" s="94">
        <v>0</v>
      </c>
      <c r="Q89" s="94">
        <v>397850</v>
      </c>
      <c r="R89" s="94">
        <v>0</v>
      </c>
      <c r="S89" s="94">
        <v>0</v>
      </c>
      <c r="T89" s="94">
        <v>2815</v>
      </c>
      <c r="U89" s="95">
        <f t="shared" si="28"/>
        <v>65729756</v>
      </c>
      <c r="V89" s="95">
        <f t="shared" si="29"/>
        <v>65729756</v>
      </c>
      <c r="W89" s="107">
        <f t="shared" si="30"/>
        <v>0</v>
      </c>
      <c r="X89" s="106">
        <v>65729756</v>
      </c>
      <c r="Y89" s="106">
        <f t="shared" si="31"/>
        <v>0</v>
      </c>
    </row>
    <row r="90" spans="2:25" ht="15.75" hidden="1" customHeight="1" thickBot="1" x14ac:dyDescent="0.3">
      <c r="B90" s="98">
        <v>2010</v>
      </c>
      <c r="D90" s="94">
        <v>4723013429.3599997</v>
      </c>
      <c r="E90" s="94">
        <v>407073950.49000001</v>
      </c>
      <c r="F90" s="94"/>
      <c r="G90" s="95">
        <v>0</v>
      </c>
      <c r="H90" s="94">
        <v>36958623</v>
      </c>
      <c r="I90" s="94">
        <v>0</v>
      </c>
      <c r="J90" s="94">
        <v>2157145</v>
      </c>
      <c r="K90" s="94">
        <v>23563733</v>
      </c>
      <c r="L90" s="94">
        <v>0</v>
      </c>
      <c r="M90" s="94">
        <v>0</v>
      </c>
      <c r="N90" s="94">
        <v>0</v>
      </c>
      <c r="O90" s="94">
        <v>0</v>
      </c>
      <c r="P90" s="94">
        <v>0</v>
      </c>
      <c r="Q90" s="94">
        <v>322800</v>
      </c>
      <c r="R90" s="94">
        <v>0</v>
      </c>
      <c r="S90" s="94">
        <v>0</v>
      </c>
      <c r="T90" s="94">
        <v>2415</v>
      </c>
      <c r="U90" s="95">
        <f t="shared" si="28"/>
        <v>63004716</v>
      </c>
      <c r="V90" s="95">
        <f t="shared" si="29"/>
        <v>63004716</v>
      </c>
      <c r="W90" s="107">
        <f t="shared" si="30"/>
        <v>0</v>
      </c>
      <c r="X90" s="106">
        <v>63004716</v>
      </c>
      <c r="Y90" s="106">
        <f t="shared" si="31"/>
        <v>0</v>
      </c>
    </row>
    <row r="91" spans="2:25" ht="15.75" hidden="1" customHeight="1" thickBot="1" x14ac:dyDescent="0.3">
      <c r="B91" s="98">
        <v>2011</v>
      </c>
      <c r="D91" s="94">
        <v>4988007891.8699999</v>
      </c>
      <c r="E91" s="94">
        <v>434415889.69</v>
      </c>
      <c r="F91" s="94"/>
      <c r="G91" s="95">
        <v>0</v>
      </c>
      <c r="H91" s="94">
        <v>33217379</v>
      </c>
      <c r="I91" s="94">
        <v>0</v>
      </c>
      <c r="J91" s="94">
        <v>1335280</v>
      </c>
      <c r="K91" s="94">
        <v>27099251</v>
      </c>
      <c r="L91" s="94">
        <v>0</v>
      </c>
      <c r="M91" s="94">
        <v>0</v>
      </c>
      <c r="N91" s="94">
        <v>0</v>
      </c>
      <c r="O91" s="94">
        <v>0</v>
      </c>
      <c r="P91" s="94">
        <v>0</v>
      </c>
      <c r="Q91" s="94">
        <v>350800</v>
      </c>
      <c r="R91" s="94">
        <v>0</v>
      </c>
      <c r="S91" s="94">
        <v>0</v>
      </c>
      <c r="T91" s="94">
        <v>30</v>
      </c>
      <c r="U91" s="95">
        <f t="shared" si="28"/>
        <v>62002740</v>
      </c>
      <c r="V91" s="95">
        <f t="shared" si="29"/>
        <v>62002740</v>
      </c>
      <c r="W91" s="107">
        <f t="shared" si="30"/>
        <v>0</v>
      </c>
      <c r="X91" s="106">
        <v>62002740</v>
      </c>
      <c r="Y91" s="106">
        <f t="shared" si="31"/>
        <v>0</v>
      </c>
    </row>
    <row r="92" spans="2:25" ht="15.75" hidden="1" customHeight="1" thickBot="1" x14ac:dyDescent="0.3">
      <c r="B92" s="98">
        <v>2012</v>
      </c>
      <c r="D92" s="94">
        <v>5113108047.9899998</v>
      </c>
      <c r="E92" s="94">
        <v>448832810.55000001</v>
      </c>
      <c r="F92" s="94"/>
      <c r="G92" s="95">
        <v>0</v>
      </c>
      <c r="H92" s="94">
        <v>30762195</v>
      </c>
      <c r="I92" s="94">
        <v>0</v>
      </c>
      <c r="J92" s="94">
        <v>1197060</v>
      </c>
      <c r="K92" s="94">
        <v>29700522</v>
      </c>
      <c r="L92" s="94">
        <v>0</v>
      </c>
      <c r="M92" s="94">
        <v>0</v>
      </c>
      <c r="N92" s="94">
        <v>0</v>
      </c>
      <c r="O92" s="94">
        <v>0</v>
      </c>
      <c r="P92" s="94">
        <v>0</v>
      </c>
      <c r="Q92" s="94">
        <v>34750</v>
      </c>
      <c r="R92" s="94">
        <v>0</v>
      </c>
      <c r="S92" s="94">
        <v>0</v>
      </c>
      <c r="T92" s="94">
        <v>0</v>
      </c>
      <c r="U92" s="95">
        <f t="shared" si="28"/>
        <v>61694527</v>
      </c>
      <c r="V92" s="95">
        <f t="shared" si="29"/>
        <v>61694527</v>
      </c>
      <c r="W92" s="107">
        <f t="shared" si="30"/>
        <v>0</v>
      </c>
      <c r="X92" s="106">
        <v>61694527</v>
      </c>
      <c r="Y92" s="106">
        <f t="shared" si="31"/>
        <v>0</v>
      </c>
    </row>
    <row r="93" spans="2:25" ht="15.75" hidden="1" customHeight="1" thickBot="1" x14ac:dyDescent="0.3">
      <c r="B93" s="98">
        <v>2013</v>
      </c>
      <c r="D93" s="94">
        <v>5111331229.8400002</v>
      </c>
      <c r="E93" s="94">
        <v>442365887.73000002</v>
      </c>
      <c r="F93" s="94"/>
      <c r="G93" s="95">
        <v>7444824.2800000003</v>
      </c>
      <c r="H93" s="94">
        <v>25545330</v>
      </c>
      <c r="I93" s="94">
        <v>0</v>
      </c>
      <c r="J93" s="94">
        <v>1320370</v>
      </c>
      <c r="K93" s="94">
        <v>34327982</v>
      </c>
      <c r="L93" s="94">
        <v>0</v>
      </c>
      <c r="M93" s="94">
        <v>0</v>
      </c>
      <c r="N93" s="94">
        <v>0</v>
      </c>
      <c r="O93" s="94">
        <v>0</v>
      </c>
      <c r="P93" s="94">
        <v>0</v>
      </c>
      <c r="Q93" s="94">
        <v>0</v>
      </c>
      <c r="R93" s="94">
        <v>0</v>
      </c>
      <c r="S93" s="94">
        <v>0</v>
      </c>
      <c r="T93" s="94">
        <v>0</v>
      </c>
      <c r="U93" s="95">
        <f t="shared" si="28"/>
        <v>61193682</v>
      </c>
      <c r="V93" s="95">
        <f t="shared" si="29"/>
        <v>68638506.280000001</v>
      </c>
      <c r="W93" s="107">
        <f t="shared" si="30"/>
        <v>0</v>
      </c>
      <c r="X93" s="106">
        <v>61193682</v>
      </c>
      <c r="Y93" s="106">
        <f t="shared" si="31"/>
        <v>0</v>
      </c>
    </row>
    <row r="94" spans="2:25" ht="15.75" hidden="1" customHeight="1" thickBot="1" x14ac:dyDescent="0.3">
      <c r="B94" s="99">
        <v>2014</v>
      </c>
      <c r="D94" s="27">
        <v>5177345265.75</v>
      </c>
      <c r="E94" s="27">
        <v>431223118.99000001</v>
      </c>
      <c r="F94" s="27"/>
      <c r="G94" s="29">
        <v>11102225.42</v>
      </c>
      <c r="H94" s="28">
        <f t="shared" ref="H94:H101" si="32">+H75+J75</f>
        <v>25632801.539999999</v>
      </c>
      <c r="I94" s="28">
        <v>0</v>
      </c>
      <c r="J94" s="28">
        <v>2992002.5799999996</v>
      </c>
      <c r="K94" s="28">
        <v>44122042.634999998</v>
      </c>
      <c r="L94" s="28">
        <v>70556.784999999989</v>
      </c>
      <c r="M94" s="28">
        <v>0</v>
      </c>
      <c r="N94" s="28">
        <v>0</v>
      </c>
      <c r="O94" s="28">
        <v>0</v>
      </c>
      <c r="P94" s="28">
        <v>0</v>
      </c>
      <c r="Q94" s="28">
        <v>0</v>
      </c>
      <c r="R94" s="28">
        <v>0</v>
      </c>
      <c r="S94" s="28">
        <v>0</v>
      </c>
      <c r="T94" s="28">
        <v>0</v>
      </c>
      <c r="U94" s="29">
        <f t="shared" si="28"/>
        <v>72817403.539999992</v>
      </c>
      <c r="V94" s="29">
        <f t="shared" si="29"/>
        <v>83919628.959999993</v>
      </c>
      <c r="W94" s="96">
        <f t="shared" ref="W94:W99" si="33">+U94-I13</f>
        <v>0</v>
      </c>
      <c r="X94" s="106">
        <v>71157161</v>
      </c>
      <c r="Y94" s="106">
        <f t="shared" ref="Y94:Y101" si="34">+U94-X94</f>
        <v>1660242.5399999917</v>
      </c>
    </row>
    <row r="95" spans="2:25" ht="15.75" hidden="1" customHeight="1" thickBot="1" x14ac:dyDescent="0.3">
      <c r="B95" s="99">
        <v>2015</v>
      </c>
      <c r="D95" s="27">
        <v>5402537959.9499998</v>
      </c>
      <c r="E95" s="27">
        <v>446278627.00999999</v>
      </c>
      <c r="F95" s="27"/>
      <c r="G95" s="29">
        <v>12603982.529999999</v>
      </c>
      <c r="H95" s="28">
        <f t="shared" si="32"/>
        <v>26739246.610000003</v>
      </c>
      <c r="I95" s="28">
        <v>0</v>
      </c>
      <c r="J95" s="28">
        <v>2786345.59</v>
      </c>
      <c r="K95" s="28">
        <v>46710591.099999994</v>
      </c>
      <c r="L95" s="28">
        <v>376000.33999999997</v>
      </c>
      <c r="M95" s="28">
        <v>0</v>
      </c>
      <c r="N95" s="28">
        <v>150044.60999999999</v>
      </c>
      <c r="O95" s="28">
        <v>0</v>
      </c>
      <c r="P95" s="28">
        <v>0</v>
      </c>
      <c r="Q95" s="28">
        <v>0</v>
      </c>
      <c r="R95" s="28">
        <v>0</v>
      </c>
      <c r="S95" s="28">
        <v>0</v>
      </c>
      <c r="T95" s="28">
        <v>0</v>
      </c>
      <c r="U95" s="29">
        <f t="shared" si="28"/>
        <v>76762228.25</v>
      </c>
      <c r="V95" s="29">
        <f t="shared" si="29"/>
        <v>89366210.780000001</v>
      </c>
      <c r="W95" s="96">
        <f t="shared" si="33"/>
        <v>0</v>
      </c>
      <c r="X95" s="106">
        <v>76340694</v>
      </c>
      <c r="Y95" s="106">
        <f t="shared" si="34"/>
        <v>421534.25</v>
      </c>
    </row>
    <row r="96" spans="2:25" ht="15.75" hidden="1" customHeight="1" thickBot="1" x14ac:dyDescent="0.3">
      <c r="B96" s="99">
        <v>2016</v>
      </c>
      <c r="D96" s="27">
        <v>5514933568.9899998</v>
      </c>
      <c r="E96" s="27">
        <v>459432566.57999998</v>
      </c>
      <c r="F96" s="27"/>
      <c r="G96" s="29">
        <v>12624702.859999999</v>
      </c>
      <c r="H96" s="28">
        <f t="shared" si="32"/>
        <v>25961174.460000001</v>
      </c>
      <c r="I96" s="28">
        <v>0</v>
      </c>
      <c r="J96" s="28">
        <v>2986128.7900000005</v>
      </c>
      <c r="K96" s="28">
        <v>46065714.960000008</v>
      </c>
      <c r="L96" s="28">
        <v>1464424.1600000001</v>
      </c>
      <c r="M96" s="28">
        <v>0</v>
      </c>
      <c r="N96" s="28">
        <v>631177.99</v>
      </c>
      <c r="O96" s="28">
        <v>0</v>
      </c>
      <c r="P96" s="28">
        <v>0</v>
      </c>
      <c r="Q96" s="28">
        <v>0</v>
      </c>
      <c r="R96" s="28">
        <v>0</v>
      </c>
      <c r="S96" s="28">
        <v>0</v>
      </c>
      <c r="T96" s="28">
        <v>0</v>
      </c>
      <c r="U96" s="29">
        <f t="shared" si="28"/>
        <v>77108620.359999999</v>
      </c>
      <c r="V96" s="29">
        <f t="shared" si="29"/>
        <v>89733323.219999999</v>
      </c>
      <c r="W96" s="96">
        <f t="shared" si="33"/>
        <v>0</v>
      </c>
      <c r="X96" s="106">
        <v>75334336</v>
      </c>
      <c r="Y96" s="106">
        <f t="shared" si="34"/>
        <v>1774284.3599999994</v>
      </c>
    </row>
    <row r="97" spans="2:25" ht="15.75" hidden="1" customHeight="1" thickBot="1" x14ac:dyDescent="0.3">
      <c r="B97" s="99">
        <v>2017</v>
      </c>
      <c r="D97" s="27">
        <v>5468326234.6000004</v>
      </c>
      <c r="E97" s="27">
        <v>444962154.55000001</v>
      </c>
      <c r="F97" s="27"/>
      <c r="G97" s="29">
        <v>11221333.98</v>
      </c>
      <c r="H97" s="28">
        <f t="shared" si="32"/>
        <v>23679647.640000004</v>
      </c>
      <c r="I97" s="28">
        <v>0</v>
      </c>
      <c r="J97" s="28">
        <v>2553433.17</v>
      </c>
      <c r="K97" s="28">
        <v>52378458.169999994</v>
      </c>
      <c r="L97" s="28">
        <v>1504659.17</v>
      </c>
      <c r="M97" s="28">
        <v>272588.11</v>
      </c>
      <c r="N97" s="28">
        <v>1023253.4699999999</v>
      </c>
      <c r="O97" s="28">
        <v>0</v>
      </c>
      <c r="P97" s="28">
        <v>0</v>
      </c>
      <c r="Q97" s="28">
        <v>0</v>
      </c>
      <c r="R97" s="28">
        <v>0</v>
      </c>
      <c r="S97" s="28">
        <v>0</v>
      </c>
      <c r="T97" s="28">
        <v>0</v>
      </c>
      <c r="U97" s="29">
        <f t="shared" si="28"/>
        <v>81412039.729999989</v>
      </c>
      <c r="V97" s="29">
        <f t="shared" si="29"/>
        <v>92633373.709999993</v>
      </c>
      <c r="W97" s="96">
        <f t="shared" si="33"/>
        <v>0</v>
      </c>
      <c r="X97" s="106">
        <v>79112088</v>
      </c>
      <c r="Y97" s="106">
        <f t="shared" si="34"/>
        <v>2299951.7299999893</v>
      </c>
    </row>
    <row r="98" spans="2:25" ht="15.75" hidden="1" customHeight="1" thickBot="1" x14ac:dyDescent="0.3">
      <c r="B98" s="99">
        <v>2018</v>
      </c>
      <c r="D98" s="27">
        <v>5551893797.1499996</v>
      </c>
      <c r="E98" s="27">
        <v>445511202.79000002</v>
      </c>
      <c r="F98" s="27"/>
      <c r="G98" s="29">
        <v>11761352.43</v>
      </c>
      <c r="H98" s="28">
        <f t="shared" si="32"/>
        <v>23410326.359999999</v>
      </c>
      <c r="I98" s="28">
        <v>0.04</v>
      </c>
      <c r="J98" s="28">
        <v>1427504.9999999998</v>
      </c>
      <c r="K98" s="28">
        <v>51975553.07</v>
      </c>
      <c r="L98" s="28">
        <v>1177060.4199999997</v>
      </c>
      <c r="M98" s="28">
        <v>2487372.75</v>
      </c>
      <c r="N98" s="28">
        <v>623242.80000000005</v>
      </c>
      <c r="O98" s="28">
        <v>301555</v>
      </c>
      <c r="P98" s="28">
        <v>187540</v>
      </c>
      <c r="Q98" s="28">
        <v>0</v>
      </c>
      <c r="R98" s="28">
        <v>0</v>
      </c>
      <c r="S98" s="28">
        <v>0</v>
      </c>
      <c r="T98" s="28">
        <v>0</v>
      </c>
      <c r="U98" s="29">
        <f t="shared" si="28"/>
        <v>81590155.439999998</v>
      </c>
      <c r="V98" s="29">
        <f t="shared" si="29"/>
        <v>93351507.870000005</v>
      </c>
      <c r="W98" s="96">
        <f t="shared" si="33"/>
        <v>0</v>
      </c>
      <c r="X98" s="106">
        <v>79739843</v>
      </c>
      <c r="Y98" s="106">
        <f t="shared" si="34"/>
        <v>1850312.4399999976</v>
      </c>
    </row>
    <row r="99" spans="2:25" ht="15.75" hidden="1" customHeight="1" thickBot="1" x14ac:dyDescent="0.3">
      <c r="B99" s="99">
        <v>2019</v>
      </c>
      <c r="D99" s="27">
        <v>5851909080.8599997</v>
      </c>
      <c r="E99" s="27">
        <v>459123839.61000001</v>
      </c>
      <c r="F99" s="27"/>
      <c r="G99" s="29">
        <v>12795304.5</v>
      </c>
      <c r="H99" s="28">
        <f t="shared" si="32"/>
        <v>23402647.680000003</v>
      </c>
      <c r="I99" s="28">
        <v>58229.979999999989</v>
      </c>
      <c r="J99" s="28">
        <v>1125856.94</v>
      </c>
      <c r="K99" s="28">
        <v>47592059.719999999</v>
      </c>
      <c r="L99" s="28">
        <v>418367.24</v>
      </c>
      <c r="M99" s="28">
        <v>2927373.8799999994</v>
      </c>
      <c r="N99" s="28">
        <v>278031.09000000003</v>
      </c>
      <c r="O99" s="28">
        <v>549340</v>
      </c>
      <c r="P99" s="28">
        <v>0</v>
      </c>
      <c r="Q99" s="28">
        <v>0</v>
      </c>
      <c r="R99" s="28">
        <v>0</v>
      </c>
      <c r="S99" s="28">
        <v>0</v>
      </c>
      <c r="T99" s="28">
        <v>0</v>
      </c>
      <c r="U99" s="29">
        <f t="shared" si="28"/>
        <v>76351906.530000001</v>
      </c>
      <c r="V99" s="29">
        <f t="shared" si="29"/>
        <v>89147211.030000001</v>
      </c>
      <c r="W99" s="96">
        <f t="shared" si="33"/>
        <v>0</v>
      </c>
      <c r="X99" s="106">
        <v>75346947</v>
      </c>
      <c r="Y99" s="106">
        <f t="shared" si="34"/>
        <v>1004959.5300000012</v>
      </c>
    </row>
    <row r="100" spans="2:25" ht="15.75" hidden="1" customHeight="1" thickBot="1" x14ac:dyDescent="0.3">
      <c r="B100" s="99">
        <v>2020</v>
      </c>
      <c r="D100" s="27">
        <v>4460847923.75</v>
      </c>
      <c r="E100" s="27">
        <v>339599506.88</v>
      </c>
      <c r="F100" s="27"/>
      <c r="G100" s="29">
        <v>8680347.8100000005</v>
      </c>
      <c r="H100" s="28">
        <f t="shared" si="32"/>
        <v>15877632.569999998</v>
      </c>
      <c r="I100" s="28">
        <v>26.98</v>
      </c>
      <c r="J100" s="28">
        <v>805370.31</v>
      </c>
      <c r="K100" s="28">
        <v>37874039.150000006</v>
      </c>
      <c r="L100" s="28">
        <v>886496.18999999983</v>
      </c>
      <c r="M100" s="28">
        <v>2021167.62</v>
      </c>
      <c r="N100" s="28">
        <v>181002.77000000002</v>
      </c>
      <c r="O100" s="28">
        <v>398667</v>
      </c>
      <c r="P100" s="28">
        <v>0</v>
      </c>
      <c r="Q100" s="28">
        <v>0</v>
      </c>
      <c r="R100" s="28">
        <v>0</v>
      </c>
      <c r="S100" s="28">
        <v>0</v>
      </c>
      <c r="T100" s="28">
        <v>0</v>
      </c>
      <c r="U100" s="29">
        <f t="shared" si="28"/>
        <v>58044402.590000004</v>
      </c>
      <c r="V100" s="29">
        <f t="shared" si="29"/>
        <v>66724750.400000006</v>
      </c>
      <c r="X100" s="106">
        <v>56642592</v>
      </c>
      <c r="Y100" s="106">
        <f t="shared" si="34"/>
        <v>1401810.5900000036</v>
      </c>
    </row>
    <row r="101" spans="2:25" ht="15.75" hidden="1" customHeight="1" thickBot="1" x14ac:dyDescent="0.3">
      <c r="B101" s="99">
        <v>2021</v>
      </c>
      <c r="D101" s="27">
        <v>898497511.26999998</v>
      </c>
      <c r="E101" s="27">
        <v>72025789.390000001</v>
      </c>
      <c r="F101" s="27"/>
      <c r="G101" s="29">
        <v>1226417.51</v>
      </c>
      <c r="H101" s="28">
        <f t="shared" si="32"/>
        <v>808141.54</v>
      </c>
      <c r="I101" s="28">
        <v>0</v>
      </c>
      <c r="J101" s="28">
        <v>0</v>
      </c>
      <c r="K101" s="28">
        <v>11249585.810000001</v>
      </c>
      <c r="L101" s="28">
        <v>1347.48</v>
      </c>
      <c r="M101" s="28">
        <v>180798.6</v>
      </c>
      <c r="N101" s="28">
        <v>0</v>
      </c>
      <c r="O101" s="28">
        <v>56315</v>
      </c>
      <c r="P101" s="28">
        <v>0</v>
      </c>
      <c r="Q101" s="28">
        <v>0</v>
      </c>
      <c r="R101" s="28">
        <v>0</v>
      </c>
      <c r="S101" s="28">
        <v>0</v>
      </c>
      <c r="T101" s="28">
        <v>0</v>
      </c>
      <c r="U101" s="29">
        <f t="shared" si="28"/>
        <v>12296188.430000002</v>
      </c>
      <c r="V101" s="29">
        <f t="shared" si="29"/>
        <v>13522605.940000001</v>
      </c>
      <c r="X101" s="106">
        <v>5349566</v>
      </c>
      <c r="Y101" s="106">
        <f t="shared" si="34"/>
        <v>6946622.4300000016</v>
      </c>
    </row>
    <row r="102" spans="2:25" ht="15" hidden="1" customHeight="1" x14ac:dyDescent="0.25"/>
    <row r="103" spans="2:25" x14ac:dyDescent="0.25">
      <c r="C103" s="196" t="s">
        <v>154</v>
      </c>
    </row>
    <row r="105" spans="2:25" ht="15.75" thickBot="1" x14ac:dyDescent="0.3"/>
    <row r="106" spans="2:25" ht="15.75" thickBot="1" x14ac:dyDescent="0.3">
      <c r="B106" s="202"/>
      <c r="C106" s="201" t="s">
        <v>162</v>
      </c>
      <c r="D106" s="124">
        <f>SUM(D66:D82)</f>
        <v>81071910375.349991</v>
      </c>
      <c r="F106" s="124">
        <f t="shared" ref="F106:X106" si="35">SUM(F66:F82)</f>
        <v>6734784736.9689999</v>
      </c>
      <c r="G106" s="124">
        <f t="shared" si="35"/>
        <v>91017458.829999998</v>
      </c>
      <c r="H106" s="124">
        <f t="shared" si="35"/>
        <v>444518373.30000001</v>
      </c>
      <c r="I106" s="124">
        <f t="shared" si="35"/>
        <v>58258.539999999994</v>
      </c>
      <c r="J106" s="124">
        <f t="shared" si="35"/>
        <v>5477772.2200000007</v>
      </c>
      <c r="K106" s="124">
        <f t="shared" si="35"/>
        <v>51735260.839999996</v>
      </c>
      <c r="L106" s="124">
        <f t="shared" si="35"/>
        <v>553384760.52499998</v>
      </c>
      <c r="M106" s="124">
        <f t="shared" si="35"/>
        <v>6662274.9950000001</v>
      </c>
      <c r="N106" s="124">
        <f t="shared" si="35"/>
        <v>7889300.959999999</v>
      </c>
      <c r="O106" s="124">
        <f t="shared" si="35"/>
        <v>4282489.25</v>
      </c>
      <c r="P106" s="124">
        <f t="shared" si="35"/>
        <v>1305877</v>
      </c>
      <c r="Q106" s="124">
        <f t="shared" si="35"/>
        <v>187540</v>
      </c>
      <c r="R106" s="124">
        <f t="shared" si="35"/>
        <v>38693370.519999996</v>
      </c>
      <c r="S106" s="124">
        <f t="shared" si="35"/>
        <v>2302417.2799999998</v>
      </c>
      <c r="T106" s="124">
        <f t="shared" si="35"/>
        <v>1197265.28</v>
      </c>
      <c r="U106" s="124">
        <f t="shared" si="35"/>
        <v>1424239.73</v>
      </c>
      <c r="V106" s="124">
        <f t="shared" si="35"/>
        <v>1423335.06</v>
      </c>
      <c r="W106" s="124">
        <f t="shared" si="35"/>
        <v>1120542535.5</v>
      </c>
      <c r="X106" s="124">
        <f t="shared" si="35"/>
        <v>1211559994.3300002</v>
      </c>
    </row>
    <row r="108" spans="2:25" x14ac:dyDescent="0.25">
      <c r="D108" s="196" t="s">
        <v>227</v>
      </c>
      <c r="F108" s="254">
        <v>2005</v>
      </c>
      <c r="G108" s="197">
        <f t="shared" ref="G108:V108" si="36">G66*$U26</f>
        <v>0</v>
      </c>
      <c r="H108" s="197">
        <f t="shared" si="36"/>
        <v>5520058.0571993999</v>
      </c>
      <c r="I108" s="197">
        <f t="shared" si="36"/>
        <v>0</v>
      </c>
      <c r="J108" s="197">
        <f t="shared" si="36"/>
        <v>0</v>
      </c>
      <c r="K108" s="197">
        <f t="shared" si="36"/>
        <v>1513340.7190177499</v>
      </c>
      <c r="L108" s="197">
        <f t="shared" si="36"/>
        <v>3408491.4303341</v>
      </c>
      <c r="M108" s="197">
        <f t="shared" si="36"/>
        <v>173.10152199999999</v>
      </c>
      <c r="N108" s="197">
        <f t="shared" si="36"/>
        <v>0</v>
      </c>
      <c r="O108" s="197">
        <f t="shared" si="36"/>
        <v>622.87422349999997</v>
      </c>
      <c r="P108" s="197">
        <f t="shared" si="36"/>
        <v>0</v>
      </c>
      <c r="Q108" s="197">
        <f t="shared" si="36"/>
        <v>0</v>
      </c>
      <c r="R108" s="197">
        <f t="shared" si="36"/>
        <v>2659853.8215230997</v>
      </c>
      <c r="S108" s="197">
        <f t="shared" si="36"/>
        <v>46359.984850249995</v>
      </c>
      <c r="T108" s="197">
        <f t="shared" si="36"/>
        <v>110354.31775075001</v>
      </c>
      <c r="U108" s="197">
        <f t="shared" si="36"/>
        <v>126116.72629319999</v>
      </c>
      <c r="V108" s="197">
        <f t="shared" si="36"/>
        <v>139191.61198779999</v>
      </c>
      <c r="X108" s="197">
        <f t="shared" ref="X108:X124" si="37">SUM(G108:V108)</f>
        <v>13524562.644701852</v>
      </c>
    </row>
    <row r="109" spans="2:25" x14ac:dyDescent="0.25">
      <c r="F109" s="254">
        <v>2006</v>
      </c>
      <c r="G109" s="197">
        <f t="shared" ref="G109:V109" si="38">G67*$U27</f>
        <v>0</v>
      </c>
      <c r="H109" s="197">
        <f t="shared" si="38"/>
        <v>5813669.7223831508</v>
      </c>
      <c r="I109" s="197">
        <f t="shared" si="38"/>
        <v>0</v>
      </c>
      <c r="J109" s="197">
        <f t="shared" si="38"/>
        <v>0</v>
      </c>
      <c r="K109" s="197">
        <f t="shared" si="38"/>
        <v>1538151.3771197</v>
      </c>
      <c r="L109" s="197">
        <f t="shared" si="38"/>
        <v>4163093.6581047503</v>
      </c>
      <c r="M109" s="197">
        <f t="shared" si="38"/>
        <v>381.07982730000003</v>
      </c>
      <c r="N109" s="197">
        <f t="shared" si="38"/>
        <v>0</v>
      </c>
      <c r="O109" s="197">
        <f t="shared" si="38"/>
        <v>21.468153350000001</v>
      </c>
      <c r="P109" s="197">
        <f t="shared" si="38"/>
        <v>0</v>
      </c>
      <c r="Q109" s="197">
        <f t="shared" si="38"/>
        <v>0</v>
      </c>
      <c r="R109" s="197">
        <f t="shared" si="38"/>
        <v>2666158.4662976502</v>
      </c>
      <c r="S109" s="197">
        <f t="shared" si="38"/>
        <v>62088.3077816</v>
      </c>
      <c r="T109" s="197">
        <f t="shared" si="38"/>
        <v>91068.265146450009</v>
      </c>
      <c r="U109" s="197">
        <f t="shared" si="38"/>
        <v>131846.40623335002</v>
      </c>
      <c r="V109" s="197">
        <f t="shared" si="38"/>
        <v>127595.53363895002</v>
      </c>
      <c r="X109" s="197">
        <f t="shared" si="37"/>
        <v>14594074.284686251</v>
      </c>
    </row>
    <row r="110" spans="2:25" x14ac:dyDescent="0.25">
      <c r="F110" s="254">
        <v>2007</v>
      </c>
      <c r="G110" s="197">
        <f t="shared" ref="G110:V110" si="39">G68*$U28</f>
        <v>0</v>
      </c>
      <c r="H110" s="197">
        <f t="shared" si="39"/>
        <v>7718243.1076762006</v>
      </c>
      <c r="I110" s="197">
        <f t="shared" si="39"/>
        <v>0</v>
      </c>
      <c r="J110" s="197">
        <f t="shared" si="39"/>
        <v>0</v>
      </c>
      <c r="K110" s="197">
        <f t="shared" si="39"/>
        <v>1436718.6257402501</v>
      </c>
      <c r="L110" s="197">
        <f t="shared" si="39"/>
        <v>4877985.4642756507</v>
      </c>
      <c r="M110" s="197">
        <f t="shared" si="39"/>
        <v>37219.750654750009</v>
      </c>
      <c r="N110" s="197">
        <f t="shared" si="39"/>
        <v>0</v>
      </c>
      <c r="O110" s="197">
        <f t="shared" si="39"/>
        <v>5.7207836000000007</v>
      </c>
      <c r="P110" s="197">
        <f t="shared" si="39"/>
        <v>0</v>
      </c>
      <c r="Q110" s="197">
        <f t="shared" si="39"/>
        <v>0</v>
      </c>
      <c r="R110" s="197">
        <f t="shared" si="39"/>
        <v>1321166.1979580005</v>
      </c>
      <c r="S110" s="197">
        <f t="shared" si="39"/>
        <v>73715.880869950008</v>
      </c>
      <c r="T110" s="197">
        <f t="shared" si="39"/>
        <v>58809.007690100007</v>
      </c>
      <c r="U110" s="197">
        <f t="shared" si="39"/>
        <v>51602.493987600006</v>
      </c>
      <c r="V110" s="197">
        <f t="shared" si="39"/>
        <v>39481.722842300005</v>
      </c>
      <c r="X110" s="197">
        <f t="shared" si="37"/>
        <v>15614947.972478401</v>
      </c>
    </row>
    <row r="111" spans="2:25" x14ac:dyDescent="0.25">
      <c r="F111" s="254">
        <v>2008</v>
      </c>
      <c r="G111" s="197">
        <f t="shared" ref="G111:V111" si="40">G69*$U29</f>
        <v>0</v>
      </c>
      <c r="H111" s="197">
        <f t="shared" si="40"/>
        <v>8387660.4702172</v>
      </c>
      <c r="I111" s="197">
        <f t="shared" si="40"/>
        <v>0</v>
      </c>
      <c r="J111" s="197">
        <f t="shared" si="40"/>
        <v>0</v>
      </c>
      <c r="K111" s="197">
        <f t="shared" si="40"/>
        <v>1503828.7447392999</v>
      </c>
      <c r="L111" s="197">
        <f t="shared" si="40"/>
        <v>4574497.0748672998</v>
      </c>
      <c r="M111" s="197">
        <f t="shared" si="40"/>
        <v>221.20653060000001</v>
      </c>
      <c r="N111" s="197">
        <f t="shared" si="40"/>
        <v>0</v>
      </c>
      <c r="O111" s="197">
        <f t="shared" si="40"/>
        <v>5.2295612999999994</v>
      </c>
      <c r="P111" s="197">
        <f t="shared" si="40"/>
        <v>0</v>
      </c>
      <c r="Q111" s="197">
        <f t="shared" si="40"/>
        <v>0</v>
      </c>
      <c r="R111" s="197">
        <f t="shared" si="40"/>
        <v>375419.69878630049</v>
      </c>
      <c r="S111" s="197">
        <f t="shared" si="40"/>
        <v>80977.168032450005</v>
      </c>
      <c r="T111" s="197">
        <f t="shared" si="40"/>
        <v>4.3470999999999996E-3</v>
      </c>
      <c r="U111" s="197">
        <f t="shared" si="40"/>
        <v>0</v>
      </c>
      <c r="V111" s="197">
        <f t="shared" si="40"/>
        <v>1502.57728855</v>
      </c>
      <c r="X111" s="197">
        <f t="shared" si="37"/>
        <v>14924112.174370101</v>
      </c>
    </row>
    <row r="112" spans="2:25" x14ac:dyDescent="0.25">
      <c r="F112" s="254">
        <v>2009</v>
      </c>
      <c r="G112" s="197">
        <f t="shared" ref="G112:V112" si="41">G70*$U30</f>
        <v>0</v>
      </c>
      <c r="H112" s="197">
        <f t="shared" si="41"/>
        <v>8104182.266810501</v>
      </c>
      <c r="I112" s="197">
        <f t="shared" si="41"/>
        <v>0</v>
      </c>
      <c r="J112" s="197">
        <f t="shared" si="41"/>
        <v>0</v>
      </c>
      <c r="K112" s="197">
        <f t="shared" si="41"/>
        <v>800632.25686315005</v>
      </c>
      <c r="L112" s="197">
        <f t="shared" si="41"/>
        <v>4876542.894355501</v>
      </c>
      <c r="M112" s="197">
        <f t="shared" si="41"/>
        <v>489.49650130000003</v>
      </c>
      <c r="N112" s="197">
        <f t="shared" si="41"/>
        <v>0</v>
      </c>
      <c r="O112" s="197">
        <f t="shared" si="41"/>
        <v>2.5147973500000003</v>
      </c>
      <c r="P112" s="197">
        <f t="shared" si="41"/>
        <v>0</v>
      </c>
      <c r="Q112" s="197">
        <f t="shared" si="41"/>
        <v>0</v>
      </c>
      <c r="R112" s="197">
        <f t="shared" si="41"/>
        <v>343584.07491914934</v>
      </c>
      <c r="S112" s="197">
        <f t="shared" si="41"/>
        <v>85390.376555700015</v>
      </c>
      <c r="T112" s="197">
        <f t="shared" si="41"/>
        <v>0</v>
      </c>
      <c r="U112" s="197">
        <f t="shared" si="41"/>
        <v>0</v>
      </c>
      <c r="V112" s="197">
        <f t="shared" si="41"/>
        <v>864.73599975000002</v>
      </c>
      <c r="X112" s="197">
        <f t="shared" si="37"/>
        <v>14211688.616802402</v>
      </c>
    </row>
    <row r="113" spans="4:27" x14ac:dyDescent="0.25">
      <c r="F113" s="254">
        <v>2010</v>
      </c>
      <c r="G113" s="197">
        <f t="shared" ref="G113:V113" si="42">G71*$U31</f>
        <v>0</v>
      </c>
      <c r="H113" s="197">
        <f t="shared" si="42"/>
        <v>7659433.4587888503</v>
      </c>
      <c r="I113" s="197">
        <f t="shared" si="42"/>
        <v>0</v>
      </c>
      <c r="J113" s="197">
        <f t="shared" si="42"/>
        <v>0</v>
      </c>
      <c r="K113" s="197">
        <f t="shared" si="42"/>
        <v>450952.63267945003</v>
      </c>
      <c r="L113" s="197">
        <f t="shared" si="42"/>
        <v>5120388.3849220509</v>
      </c>
      <c r="M113" s="197">
        <f t="shared" si="42"/>
        <v>333.05741360000002</v>
      </c>
      <c r="N113" s="197">
        <f t="shared" si="42"/>
        <v>0</v>
      </c>
      <c r="O113" s="197">
        <f t="shared" si="42"/>
        <v>46499.146389000001</v>
      </c>
      <c r="P113" s="197">
        <f t="shared" si="42"/>
        <v>0</v>
      </c>
      <c r="Q113" s="197">
        <f t="shared" si="42"/>
        <v>0</v>
      </c>
      <c r="R113" s="197">
        <f t="shared" si="42"/>
        <v>331437.05815760104</v>
      </c>
      <c r="S113" s="197">
        <f t="shared" si="42"/>
        <v>69183.853062400012</v>
      </c>
      <c r="T113" s="197">
        <f t="shared" si="42"/>
        <v>0</v>
      </c>
      <c r="U113" s="197">
        <f t="shared" si="42"/>
        <v>0</v>
      </c>
      <c r="V113" s="197">
        <f t="shared" si="42"/>
        <v>720.20361894999996</v>
      </c>
      <c r="X113" s="197">
        <f t="shared" si="37"/>
        <v>13678947.795031901</v>
      </c>
    </row>
    <row r="114" spans="4:27" x14ac:dyDescent="0.25">
      <c r="F114" s="254">
        <v>2011</v>
      </c>
      <c r="G114" s="197">
        <f t="shared" ref="G114:V114" si="43">G72*$U32</f>
        <v>0</v>
      </c>
      <c r="H114" s="197">
        <f t="shared" si="43"/>
        <v>7936073.7471898971</v>
      </c>
      <c r="I114" s="197">
        <f t="shared" si="43"/>
        <v>0</v>
      </c>
      <c r="J114" s="197">
        <f t="shared" si="43"/>
        <v>0</v>
      </c>
      <c r="K114" s="197">
        <f t="shared" si="43"/>
        <v>320445.93907895806</v>
      </c>
      <c r="L114" s="197">
        <f t="shared" si="43"/>
        <v>6780696.8771656537</v>
      </c>
      <c r="M114" s="197">
        <f t="shared" si="43"/>
        <v>53261.625125296014</v>
      </c>
      <c r="N114" s="197">
        <f t="shared" si="43"/>
        <v>0</v>
      </c>
      <c r="O114" s="197">
        <f t="shared" si="43"/>
        <v>283117.05630096007</v>
      </c>
      <c r="P114" s="197">
        <f t="shared" si="43"/>
        <v>0</v>
      </c>
      <c r="Q114" s="197">
        <f t="shared" si="43"/>
        <v>0</v>
      </c>
      <c r="R114" s="197">
        <f t="shared" si="43"/>
        <v>315524.15219390782</v>
      </c>
      <c r="S114" s="197">
        <f t="shared" si="43"/>
        <v>86608.505657940012</v>
      </c>
      <c r="T114" s="197">
        <f t="shared" si="43"/>
        <v>0</v>
      </c>
      <c r="U114" s="197">
        <f t="shared" si="43"/>
        <v>0</v>
      </c>
      <c r="V114" s="197">
        <f t="shared" si="43"/>
        <v>14.517991600000002</v>
      </c>
      <c r="X114" s="197">
        <f t="shared" si="37"/>
        <v>15775742.420704212</v>
      </c>
    </row>
    <row r="115" spans="4:27" x14ac:dyDescent="0.25">
      <c r="F115" s="254">
        <v>2012</v>
      </c>
      <c r="G115" s="197">
        <f t="shared" ref="G115:V115" si="44">G73*$U33</f>
        <v>0</v>
      </c>
      <c r="H115" s="197">
        <f t="shared" si="44"/>
        <v>7914070.7617807062</v>
      </c>
      <c r="I115" s="197">
        <f t="shared" si="44"/>
        <v>0</v>
      </c>
      <c r="J115" s="197">
        <f t="shared" si="44"/>
        <v>0</v>
      </c>
      <c r="K115" s="197">
        <f t="shared" si="44"/>
        <v>313210.10220381885</v>
      </c>
      <c r="L115" s="197">
        <f t="shared" si="44"/>
        <v>7986195.111527415</v>
      </c>
      <c r="M115" s="197">
        <f t="shared" si="44"/>
        <v>38211.218380782666</v>
      </c>
      <c r="N115" s="197">
        <f t="shared" si="44"/>
        <v>0</v>
      </c>
      <c r="O115" s="197">
        <f t="shared" si="44"/>
        <v>12812.020104319423</v>
      </c>
      <c r="P115" s="197">
        <f t="shared" si="44"/>
        <v>0</v>
      </c>
      <c r="Q115" s="197">
        <f t="shared" si="44"/>
        <v>0</v>
      </c>
      <c r="R115" s="197">
        <f t="shared" si="44"/>
        <v>296796.56046333886</v>
      </c>
      <c r="S115" s="197">
        <f t="shared" si="44"/>
        <v>9266.0923324317391</v>
      </c>
      <c r="T115" s="197">
        <f t="shared" si="44"/>
        <v>0</v>
      </c>
      <c r="U115" s="197">
        <f t="shared" si="44"/>
        <v>0</v>
      </c>
      <c r="V115" s="197">
        <f t="shared" si="44"/>
        <v>0</v>
      </c>
      <c r="X115" s="197">
        <f t="shared" si="37"/>
        <v>16570561.866792813</v>
      </c>
    </row>
    <row r="116" spans="4:27" x14ac:dyDescent="0.25">
      <c r="F116" s="254">
        <v>2013</v>
      </c>
      <c r="G116" s="197">
        <f t="shared" ref="G116:V116" si="45">G74*$U34</f>
        <v>2171036.6802301961</v>
      </c>
      <c r="H116" s="197">
        <f t="shared" si="45"/>
        <v>7170294.9693570221</v>
      </c>
      <c r="I116" s="197">
        <f t="shared" si="45"/>
        <v>0</v>
      </c>
      <c r="J116" s="197">
        <f t="shared" si="45"/>
        <v>0</v>
      </c>
      <c r="K116" s="197">
        <f t="shared" si="45"/>
        <v>375519.61703125655</v>
      </c>
      <c r="L116" s="197">
        <f t="shared" si="45"/>
        <v>10007901.323785128</v>
      </c>
      <c r="M116" s="197">
        <f t="shared" si="45"/>
        <v>67050.223034626688</v>
      </c>
      <c r="N116" s="197">
        <f t="shared" si="45"/>
        <v>0</v>
      </c>
      <c r="O116" s="197">
        <f t="shared" si="45"/>
        <v>23.402257331515315</v>
      </c>
      <c r="P116" s="197">
        <f t="shared" si="45"/>
        <v>0</v>
      </c>
      <c r="Q116" s="197">
        <f t="shared" si="45"/>
        <v>0</v>
      </c>
      <c r="R116" s="197">
        <f t="shared" si="45"/>
        <v>266662.62749911821</v>
      </c>
      <c r="S116" s="197">
        <f t="shared" si="45"/>
        <v>43.745453237390812</v>
      </c>
      <c r="T116" s="197">
        <f t="shared" si="45"/>
        <v>0</v>
      </c>
      <c r="U116" s="197">
        <f t="shared" si="45"/>
        <v>0</v>
      </c>
      <c r="V116" s="197">
        <f t="shared" si="45"/>
        <v>0</v>
      </c>
      <c r="X116" s="197">
        <f t="shared" si="37"/>
        <v>20058532.588647917</v>
      </c>
    </row>
    <row r="117" spans="4:27" x14ac:dyDescent="0.25">
      <c r="F117" s="254">
        <v>2014</v>
      </c>
      <c r="G117" s="197">
        <f t="shared" ref="G117:V117" si="46">G75*$U35</f>
        <v>3175800.1878011539</v>
      </c>
      <c r="H117" s="197">
        <f t="shared" si="46"/>
        <v>7078002.7915384443</v>
      </c>
      <c r="I117" s="197">
        <f t="shared" si="46"/>
        <v>0</v>
      </c>
      <c r="J117" s="197">
        <f t="shared" si="46"/>
        <v>254279.95944552118</v>
      </c>
      <c r="K117" s="197">
        <f t="shared" si="46"/>
        <v>855864.65739996987</v>
      </c>
      <c r="L117" s="197">
        <f t="shared" si="46"/>
        <v>12621144.499010138</v>
      </c>
      <c r="M117" s="197">
        <f t="shared" si="46"/>
        <v>20182.82304464735</v>
      </c>
      <c r="N117" s="197">
        <f t="shared" si="46"/>
        <v>0</v>
      </c>
      <c r="O117" s="197">
        <f t="shared" si="46"/>
        <v>0</v>
      </c>
      <c r="P117" s="197">
        <f t="shared" si="46"/>
        <v>0</v>
      </c>
      <c r="Q117" s="197">
        <f t="shared" si="46"/>
        <v>0</v>
      </c>
      <c r="R117" s="197">
        <f t="shared" si="46"/>
        <v>0</v>
      </c>
      <c r="S117" s="197">
        <f t="shared" si="46"/>
        <v>0</v>
      </c>
      <c r="T117" s="197">
        <f t="shared" si="46"/>
        <v>0</v>
      </c>
      <c r="U117" s="197">
        <f t="shared" si="46"/>
        <v>0</v>
      </c>
      <c r="V117" s="197">
        <f t="shared" si="46"/>
        <v>0</v>
      </c>
      <c r="X117" s="197">
        <f t="shared" si="37"/>
        <v>24005274.918239873</v>
      </c>
    </row>
    <row r="118" spans="4:27" x14ac:dyDescent="0.25">
      <c r="F118" s="254">
        <v>2015</v>
      </c>
      <c r="G118" s="197">
        <f t="shared" ref="G118:V118" si="47">G76*$U36</f>
        <v>3704026.1665743897</v>
      </c>
      <c r="H118" s="197">
        <f t="shared" si="47"/>
        <v>7608357.5413177349</v>
      </c>
      <c r="I118" s="197">
        <f t="shared" si="47"/>
        <v>0</v>
      </c>
      <c r="J118" s="197">
        <f t="shared" si="47"/>
        <v>249703.89935656832</v>
      </c>
      <c r="K118" s="197">
        <f t="shared" si="47"/>
        <v>818844.11930227862</v>
      </c>
      <c r="L118" s="197">
        <f t="shared" si="47"/>
        <v>13727189.10699385</v>
      </c>
      <c r="M118" s="197">
        <f t="shared" si="47"/>
        <v>110498.01875605003</v>
      </c>
      <c r="N118" s="197">
        <f t="shared" si="47"/>
        <v>0</v>
      </c>
      <c r="O118" s="197">
        <f t="shared" si="47"/>
        <v>44094.726430364964</v>
      </c>
      <c r="P118" s="197">
        <f t="shared" si="47"/>
        <v>0</v>
      </c>
      <c r="Q118" s="197">
        <f t="shared" si="47"/>
        <v>0</v>
      </c>
      <c r="R118" s="197">
        <f t="shared" si="47"/>
        <v>0</v>
      </c>
      <c r="S118" s="197">
        <f t="shared" si="47"/>
        <v>0</v>
      </c>
      <c r="T118" s="197">
        <f t="shared" si="47"/>
        <v>0</v>
      </c>
      <c r="U118" s="197">
        <f t="shared" si="47"/>
        <v>0</v>
      </c>
      <c r="V118" s="197">
        <f t="shared" si="47"/>
        <v>0</v>
      </c>
      <c r="X118" s="197">
        <f t="shared" si="37"/>
        <v>26262713.578731235</v>
      </c>
    </row>
    <row r="119" spans="4:27" x14ac:dyDescent="0.25">
      <c r="F119" s="254">
        <v>2016</v>
      </c>
      <c r="G119" s="197">
        <f t="shared" ref="G119:V119" si="48">G77*$U37</f>
        <v>3812143.4420952313</v>
      </c>
      <c r="H119" s="197">
        <f t="shared" si="48"/>
        <v>7591705.1782321529</v>
      </c>
      <c r="I119" s="197">
        <f t="shared" si="48"/>
        <v>0</v>
      </c>
      <c r="J119" s="197">
        <f t="shared" si="48"/>
        <v>247506.72752665047</v>
      </c>
      <c r="K119" s="197">
        <f t="shared" si="48"/>
        <v>901688.65044086042</v>
      </c>
      <c r="L119" s="197">
        <f t="shared" si="48"/>
        <v>13909960.110553622</v>
      </c>
      <c r="M119" s="197">
        <f t="shared" si="48"/>
        <v>442196.14670517627</v>
      </c>
      <c r="N119" s="197">
        <f t="shared" si="48"/>
        <v>0</v>
      </c>
      <c r="O119" s="197">
        <f t="shared" si="48"/>
        <v>190589.91423845277</v>
      </c>
      <c r="P119" s="197">
        <f t="shared" si="48"/>
        <v>0</v>
      </c>
      <c r="Q119" s="197">
        <f t="shared" si="48"/>
        <v>0</v>
      </c>
      <c r="R119" s="197">
        <f t="shared" si="48"/>
        <v>0</v>
      </c>
      <c r="S119" s="197">
        <f t="shared" si="48"/>
        <v>0</v>
      </c>
      <c r="T119" s="197">
        <f t="shared" si="48"/>
        <v>0</v>
      </c>
      <c r="U119" s="197">
        <f t="shared" si="48"/>
        <v>0</v>
      </c>
      <c r="V119" s="197">
        <f t="shared" si="48"/>
        <v>0</v>
      </c>
      <c r="X119" s="197">
        <f t="shared" si="37"/>
        <v>27095790.169792145</v>
      </c>
    </row>
    <row r="120" spans="4:27" x14ac:dyDescent="0.25">
      <c r="F120" s="254">
        <v>2017</v>
      </c>
      <c r="G120" s="197">
        <f t="shared" ref="G120:V120" si="49">G78*$U38</f>
        <v>3298462.9303263552</v>
      </c>
      <c r="H120" s="197">
        <f t="shared" si="49"/>
        <v>6718974.1515667811</v>
      </c>
      <c r="I120" s="197">
        <f t="shared" si="49"/>
        <v>0</v>
      </c>
      <c r="J120" s="197">
        <f t="shared" si="49"/>
        <v>241556.57347362695</v>
      </c>
      <c r="K120" s="197">
        <f t="shared" si="49"/>
        <v>750570.71390283259</v>
      </c>
      <c r="L120" s="197">
        <f t="shared" si="49"/>
        <v>15396422.825425485</v>
      </c>
      <c r="M120" s="197">
        <f t="shared" si="49"/>
        <v>442288.10085025395</v>
      </c>
      <c r="N120" s="197">
        <f t="shared" si="49"/>
        <v>80126.104230142766</v>
      </c>
      <c r="O120" s="197">
        <f t="shared" si="49"/>
        <v>300780.96286399016</v>
      </c>
      <c r="P120" s="197">
        <f t="shared" si="49"/>
        <v>0</v>
      </c>
      <c r="Q120" s="197">
        <f t="shared" si="49"/>
        <v>0</v>
      </c>
      <c r="R120" s="197">
        <f t="shared" si="49"/>
        <v>0</v>
      </c>
      <c r="S120" s="197">
        <f t="shared" si="49"/>
        <v>0</v>
      </c>
      <c r="T120" s="197">
        <f t="shared" si="49"/>
        <v>0</v>
      </c>
      <c r="U120" s="197">
        <f t="shared" si="49"/>
        <v>0</v>
      </c>
      <c r="V120" s="197">
        <f t="shared" si="49"/>
        <v>0</v>
      </c>
      <c r="X120" s="197">
        <f t="shared" si="37"/>
        <v>27229182.362639468</v>
      </c>
    </row>
    <row r="121" spans="4:27" x14ac:dyDescent="0.25">
      <c r="F121" s="254">
        <v>2018</v>
      </c>
      <c r="G121" s="197">
        <f t="shared" ref="G121:V121" si="50">G79*$U39</f>
        <v>3417004.0909204641</v>
      </c>
      <c r="H121" s="197">
        <f t="shared" si="50"/>
        <v>6580689.2234191941</v>
      </c>
      <c r="I121" s="197">
        <f t="shared" si="50"/>
        <v>1.1621126435101525E-2</v>
      </c>
      <c r="J121" s="197">
        <f t="shared" si="50"/>
        <v>220669.83949455718</v>
      </c>
      <c r="K121" s="197">
        <f t="shared" si="50"/>
        <v>414730.40229349001</v>
      </c>
      <c r="L121" s="197">
        <f t="shared" si="50"/>
        <v>15100361.844019981</v>
      </c>
      <c r="M121" s="197">
        <f t="shared" si="50"/>
        <v>341969.19906434254</v>
      </c>
      <c r="N121" s="197">
        <f t="shared" si="50"/>
        <v>722651.83047440439</v>
      </c>
      <c r="O121" s="197">
        <f t="shared" si="50"/>
        <v>181069.58446416733</v>
      </c>
      <c r="P121" s="197">
        <f t="shared" si="50"/>
        <v>87610.21955342601</v>
      </c>
      <c r="Q121" s="197">
        <f t="shared" si="50"/>
        <v>54485.651290973503</v>
      </c>
      <c r="R121" s="197">
        <f t="shared" si="50"/>
        <v>0</v>
      </c>
      <c r="S121" s="197">
        <f t="shared" si="50"/>
        <v>0</v>
      </c>
      <c r="T121" s="197">
        <f t="shared" si="50"/>
        <v>0</v>
      </c>
      <c r="U121" s="197">
        <f t="shared" si="50"/>
        <v>0</v>
      </c>
      <c r="V121" s="197">
        <f t="shared" si="50"/>
        <v>0</v>
      </c>
      <c r="X121" s="197">
        <f t="shared" si="37"/>
        <v>27121241.896616127</v>
      </c>
    </row>
    <row r="122" spans="4:27" x14ac:dyDescent="0.25">
      <c r="F122" s="254">
        <v>2019</v>
      </c>
      <c r="G122" s="197">
        <f t="shared" ref="G122:V122" si="51">G80*$U40</f>
        <v>3431220.1872022324</v>
      </c>
      <c r="H122" s="197">
        <f t="shared" si="51"/>
        <v>6065666.7022259543</v>
      </c>
      <c r="I122" s="197">
        <f t="shared" si="51"/>
        <v>15615.094027374043</v>
      </c>
      <c r="J122" s="197">
        <f t="shared" si="51"/>
        <v>210044.6068403917</v>
      </c>
      <c r="K122" s="197">
        <f t="shared" si="51"/>
        <v>301912.55397085176</v>
      </c>
      <c r="L122" s="197">
        <f t="shared" si="51"/>
        <v>12762403.275498306</v>
      </c>
      <c r="M122" s="197">
        <f t="shared" si="51"/>
        <v>112190.38355453606</v>
      </c>
      <c r="N122" s="197">
        <f t="shared" si="51"/>
        <v>785011.74806309014</v>
      </c>
      <c r="O122" s="197">
        <f t="shared" si="51"/>
        <v>74557.497922604409</v>
      </c>
      <c r="P122" s="197">
        <f t="shared" si="51"/>
        <v>147312.35959548084</v>
      </c>
      <c r="Q122" s="197">
        <f t="shared" si="51"/>
        <v>0</v>
      </c>
      <c r="R122" s="197">
        <f t="shared" si="51"/>
        <v>0</v>
      </c>
      <c r="S122" s="197">
        <f t="shared" si="51"/>
        <v>0</v>
      </c>
      <c r="T122" s="197">
        <f t="shared" si="51"/>
        <v>0</v>
      </c>
      <c r="U122" s="197">
        <f t="shared" si="51"/>
        <v>0</v>
      </c>
      <c r="V122" s="197">
        <f t="shared" si="51"/>
        <v>0</v>
      </c>
      <c r="X122" s="197">
        <f t="shared" si="37"/>
        <v>23905934.408900823</v>
      </c>
    </row>
    <row r="123" spans="4:27" x14ac:dyDescent="0.25">
      <c r="F123" s="254">
        <v>2020</v>
      </c>
      <c r="G123" s="197">
        <f t="shared" ref="G123:V123" si="52">G81*$U41</f>
        <v>2055143.1655576024</v>
      </c>
      <c r="H123" s="197">
        <f t="shared" si="52"/>
        <v>3629173.2372646085</v>
      </c>
      <c r="I123" s="197">
        <f t="shared" si="52"/>
        <v>6.3877351254136103</v>
      </c>
      <c r="J123" s="197">
        <f t="shared" si="52"/>
        <v>129985.81669388557</v>
      </c>
      <c r="K123" s="197">
        <f t="shared" si="52"/>
        <v>190677.99177732575</v>
      </c>
      <c r="L123" s="197">
        <f t="shared" si="52"/>
        <v>8966987.7768623158</v>
      </c>
      <c r="M123" s="197">
        <f t="shared" si="52"/>
        <v>209885.2057601311</v>
      </c>
      <c r="N123" s="197">
        <f t="shared" si="52"/>
        <v>478527.92441151332</v>
      </c>
      <c r="O123" s="197">
        <f t="shared" si="52"/>
        <v>42853.882569538953</v>
      </c>
      <c r="P123" s="197">
        <f t="shared" si="52"/>
        <v>94387.664908942475</v>
      </c>
      <c r="Q123" s="197">
        <f t="shared" si="52"/>
        <v>0</v>
      </c>
      <c r="R123" s="197">
        <f t="shared" si="52"/>
        <v>0</v>
      </c>
      <c r="S123" s="197">
        <f t="shared" si="52"/>
        <v>0</v>
      </c>
      <c r="T123" s="197">
        <f t="shared" si="52"/>
        <v>0</v>
      </c>
      <c r="U123" s="197">
        <f t="shared" si="52"/>
        <v>0</v>
      </c>
      <c r="V123" s="197">
        <f t="shared" si="52"/>
        <v>0</v>
      </c>
      <c r="X123" s="197">
        <f t="shared" si="37"/>
        <v>15797629.053540988</v>
      </c>
    </row>
    <row r="124" spans="4:27" x14ac:dyDescent="0.25">
      <c r="F124" s="254">
        <v>2021</v>
      </c>
      <c r="G124" s="197">
        <f t="shared" ref="G124:V124" si="53">G82*$U42</f>
        <v>855279.97028980567</v>
      </c>
      <c r="H124" s="197">
        <f t="shared" si="53"/>
        <v>246523.94489620705</v>
      </c>
      <c r="I124" s="197">
        <f t="shared" si="53"/>
        <v>0.47321198640578327</v>
      </c>
      <c r="J124" s="197">
        <f t="shared" si="53"/>
        <v>1802.2001949804669</v>
      </c>
      <c r="K124" s="197">
        <f t="shared" si="53"/>
        <v>0</v>
      </c>
      <c r="L124" s="197">
        <f t="shared" si="53"/>
        <v>3456778.4723327355</v>
      </c>
      <c r="M124" s="197">
        <f t="shared" si="53"/>
        <v>414.05434249484733</v>
      </c>
      <c r="N124" s="197">
        <f t="shared" si="53"/>
        <v>55555.886133366657</v>
      </c>
      <c r="O124" s="197">
        <f t="shared" si="53"/>
        <v>0</v>
      </c>
      <c r="P124" s="197">
        <f t="shared" si="53"/>
        <v>17304.501957429664</v>
      </c>
      <c r="Q124" s="197">
        <f t="shared" si="53"/>
        <v>0</v>
      </c>
      <c r="R124" s="197">
        <f t="shared" si="53"/>
        <v>0</v>
      </c>
      <c r="S124" s="197">
        <f t="shared" si="53"/>
        <v>0</v>
      </c>
      <c r="T124" s="197">
        <f t="shared" si="53"/>
        <v>0</v>
      </c>
      <c r="U124" s="197">
        <f t="shared" si="53"/>
        <v>0</v>
      </c>
      <c r="V124" s="197">
        <f t="shared" si="53"/>
        <v>0</v>
      </c>
      <c r="X124" s="197">
        <f t="shared" si="37"/>
        <v>4633659.5033590058</v>
      </c>
    </row>
    <row r="125" spans="4:27" x14ac:dyDescent="0.25">
      <c r="G125" s="200">
        <f t="shared" ref="G125:V125" si="54">SUM(G108:G124)</f>
        <v>25920116.820997432</v>
      </c>
      <c r="H125" s="200">
        <f t="shared" si="54"/>
        <v>111742779.33186398</v>
      </c>
      <c r="I125" s="200">
        <f t="shared" si="54"/>
        <v>15621.966595612299</v>
      </c>
      <c r="J125" s="200">
        <f t="shared" si="54"/>
        <v>1555549.6230261817</v>
      </c>
      <c r="K125" s="200">
        <f t="shared" si="54"/>
        <v>12487089.103561241</v>
      </c>
      <c r="L125" s="200">
        <f t="shared" si="54"/>
        <v>147737040.130034</v>
      </c>
      <c r="M125" s="200">
        <f t="shared" si="54"/>
        <v>1876964.6910678875</v>
      </c>
      <c r="N125" s="200">
        <f t="shared" si="54"/>
        <v>2121873.4933125172</v>
      </c>
      <c r="O125" s="200">
        <f t="shared" si="54"/>
        <v>1177056.0010598295</v>
      </c>
      <c r="P125" s="200">
        <f t="shared" si="54"/>
        <v>346614.74601527903</v>
      </c>
      <c r="Q125" s="200">
        <f t="shared" si="54"/>
        <v>54485.651290973503</v>
      </c>
      <c r="R125" s="200">
        <f t="shared" si="54"/>
        <v>8576602.6577981673</v>
      </c>
      <c r="S125" s="200">
        <f t="shared" si="54"/>
        <v>513633.91459595918</v>
      </c>
      <c r="T125" s="200">
        <f t="shared" si="54"/>
        <v>260231.59493440003</v>
      </c>
      <c r="U125" s="200">
        <f t="shared" si="54"/>
        <v>309565.62651415</v>
      </c>
      <c r="V125" s="200">
        <f t="shared" si="54"/>
        <v>309370.90336789994</v>
      </c>
      <c r="W125" s="200"/>
      <c r="X125" s="200">
        <f>SUM(X108:X124)</f>
        <v>315004596.25603551</v>
      </c>
      <c r="Y125" s="96">
        <f>SUM(G125:V125)-X125</f>
        <v>0</v>
      </c>
      <c r="Z125" s="96" t="s">
        <v>223</v>
      </c>
      <c r="AA125" s="96"/>
    </row>
    <row r="126" spans="4:27" ht="15.75" thickBot="1" x14ac:dyDescent="0.3">
      <c r="D126" s="196" t="s">
        <v>227</v>
      </c>
      <c r="F126" s="245" t="s">
        <v>224</v>
      </c>
      <c r="G126" s="243">
        <f t="shared" ref="G126:V126" si="55">SUM(G115:G124)</f>
        <v>25920116.820997432</v>
      </c>
      <c r="H126" s="243">
        <f t="shared" si="55"/>
        <v>60603458.501598813</v>
      </c>
      <c r="I126" s="243">
        <f t="shared" si="55"/>
        <v>15621.966595612299</v>
      </c>
      <c r="J126" s="243">
        <f t="shared" si="55"/>
        <v>1555549.6230261817</v>
      </c>
      <c r="K126" s="243">
        <f t="shared" si="55"/>
        <v>4923018.8083226848</v>
      </c>
      <c r="L126" s="243">
        <f t="shared" si="55"/>
        <v>113935344.34600897</v>
      </c>
      <c r="M126" s="243">
        <f t="shared" si="55"/>
        <v>1784885.3734930416</v>
      </c>
      <c r="N126" s="243">
        <f t="shared" si="55"/>
        <v>2121873.4933125172</v>
      </c>
      <c r="O126" s="243">
        <f t="shared" si="55"/>
        <v>846781.99085076968</v>
      </c>
      <c r="P126" s="243">
        <f t="shared" si="55"/>
        <v>346614.74601527903</v>
      </c>
      <c r="Q126" s="243">
        <f t="shared" si="55"/>
        <v>54485.651290973503</v>
      </c>
      <c r="R126" s="243">
        <f t="shared" si="55"/>
        <v>563459.18796245707</v>
      </c>
      <c r="S126" s="243">
        <f t="shared" si="55"/>
        <v>9309.8377856691295</v>
      </c>
      <c r="T126" s="243">
        <f t="shared" si="55"/>
        <v>0</v>
      </c>
      <c r="U126" s="243">
        <f t="shared" si="55"/>
        <v>0</v>
      </c>
      <c r="V126" s="243">
        <f t="shared" si="55"/>
        <v>0</v>
      </c>
      <c r="W126" s="244"/>
      <c r="X126" s="243">
        <f>SUM(G126:V126)</f>
        <v>212680520.34726039</v>
      </c>
      <c r="Y126" s="96">
        <f>SUM(G115:V124)-X126</f>
        <v>0</v>
      </c>
      <c r="Z126" s="96" t="s">
        <v>223</v>
      </c>
    </row>
    <row r="128" spans="4:27" x14ac:dyDescent="0.25">
      <c r="D128" s="196" t="s">
        <v>226</v>
      </c>
      <c r="F128" s="254">
        <v>2005</v>
      </c>
      <c r="G128" s="96">
        <f t="shared" ref="G128:V128" si="56">G66*$V26</f>
        <v>0</v>
      </c>
      <c r="H128" s="96">
        <f t="shared" si="56"/>
        <v>2311082.25348</v>
      </c>
      <c r="I128" s="96">
        <f t="shared" si="56"/>
        <v>0</v>
      </c>
      <c r="J128" s="96">
        <f t="shared" si="56"/>
        <v>0</v>
      </c>
      <c r="K128" s="96">
        <f t="shared" si="56"/>
        <v>633590.23454999994</v>
      </c>
      <c r="L128" s="96">
        <f t="shared" si="56"/>
        <v>1427032.8272199999</v>
      </c>
      <c r="M128" s="96">
        <f t="shared" si="56"/>
        <v>72.472399999999993</v>
      </c>
      <c r="N128" s="96">
        <f t="shared" si="56"/>
        <v>0</v>
      </c>
      <c r="O128" s="96">
        <f t="shared" si="56"/>
        <v>260.77869999999996</v>
      </c>
      <c r="P128" s="96">
        <f t="shared" si="56"/>
        <v>0</v>
      </c>
      <c r="Q128" s="96">
        <f t="shared" si="56"/>
        <v>0</v>
      </c>
      <c r="R128" s="96">
        <f t="shared" si="56"/>
        <v>1113600.7810199999</v>
      </c>
      <c r="S128" s="96">
        <f t="shared" si="56"/>
        <v>19409.531049999998</v>
      </c>
      <c r="T128" s="96">
        <f t="shared" si="56"/>
        <v>46202.033150000003</v>
      </c>
      <c r="U128" s="96">
        <f t="shared" si="56"/>
        <v>52801.279439999998</v>
      </c>
      <c r="V128" s="96">
        <f t="shared" si="56"/>
        <v>58275.340759999999</v>
      </c>
      <c r="W128" s="96"/>
      <c r="X128" s="96">
        <f t="shared" ref="X128:X144" si="57">SUM(G128:V128)</f>
        <v>5662327.5317699993</v>
      </c>
    </row>
    <row r="129" spans="6:24" x14ac:dyDescent="0.25">
      <c r="F129" s="254">
        <v>2006</v>
      </c>
      <c r="G129" s="96">
        <f t="shared" ref="G129:V129" si="58">G67*$V27</f>
        <v>0</v>
      </c>
      <c r="H129" s="96">
        <f t="shared" si="58"/>
        <v>2434008.6252299999</v>
      </c>
      <c r="I129" s="96">
        <f t="shared" si="58"/>
        <v>0</v>
      </c>
      <c r="J129" s="96">
        <f t="shared" si="58"/>
        <v>0</v>
      </c>
      <c r="K129" s="96">
        <f t="shared" si="58"/>
        <v>643977.71074000001</v>
      </c>
      <c r="L129" s="96">
        <f t="shared" si="58"/>
        <v>1742962.0799499999</v>
      </c>
      <c r="M129" s="96">
        <f t="shared" si="58"/>
        <v>159.54666</v>
      </c>
      <c r="N129" s="96">
        <f t="shared" si="58"/>
        <v>0</v>
      </c>
      <c r="O129" s="96">
        <f t="shared" si="58"/>
        <v>8.9880699999999987</v>
      </c>
      <c r="P129" s="96">
        <f t="shared" si="58"/>
        <v>0</v>
      </c>
      <c r="Q129" s="96">
        <f t="shared" si="58"/>
        <v>0</v>
      </c>
      <c r="R129" s="96">
        <f t="shared" si="58"/>
        <v>1116240.34613</v>
      </c>
      <c r="S129" s="96">
        <f t="shared" si="58"/>
        <v>25994.506719999998</v>
      </c>
      <c r="T129" s="96">
        <f t="shared" si="58"/>
        <v>38127.543089999999</v>
      </c>
      <c r="U129" s="96">
        <f t="shared" si="58"/>
        <v>55200.124069999998</v>
      </c>
      <c r="V129" s="96">
        <f t="shared" si="58"/>
        <v>53420.411589999996</v>
      </c>
      <c r="W129" s="96"/>
      <c r="X129" s="96">
        <f t="shared" si="57"/>
        <v>6110099.8822499989</v>
      </c>
    </row>
    <row r="130" spans="6:24" x14ac:dyDescent="0.25">
      <c r="F130" s="254">
        <v>2007</v>
      </c>
      <c r="G130" s="96">
        <f t="shared" ref="G130:V130" si="59">G68*$V28</f>
        <v>0</v>
      </c>
      <c r="H130" s="96">
        <f t="shared" si="59"/>
        <v>3231396.2080399995</v>
      </c>
      <c r="I130" s="96">
        <f t="shared" si="59"/>
        <v>0</v>
      </c>
      <c r="J130" s="96">
        <f t="shared" si="59"/>
        <v>0</v>
      </c>
      <c r="K130" s="96">
        <f t="shared" si="59"/>
        <v>601510.86904999998</v>
      </c>
      <c r="L130" s="96">
        <f t="shared" si="59"/>
        <v>2042265.77373</v>
      </c>
      <c r="M130" s="96">
        <f t="shared" si="59"/>
        <v>15582.78995</v>
      </c>
      <c r="N130" s="96">
        <f t="shared" si="59"/>
        <v>0</v>
      </c>
      <c r="O130" s="96">
        <f t="shared" si="59"/>
        <v>2.3951199999999999</v>
      </c>
      <c r="P130" s="96">
        <f t="shared" si="59"/>
        <v>0</v>
      </c>
      <c r="Q130" s="96">
        <f t="shared" si="59"/>
        <v>0</v>
      </c>
      <c r="R130" s="96">
        <f t="shared" si="59"/>
        <v>553132.54360000009</v>
      </c>
      <c r="S130" s="96">
        <f t="shared" si="59"/>
        <v>30862.621790000001</v>
      </c>
      <c r="T130" s="96">
        <f t="shared" si="59"/>
        <v>24621.562419999998</v>
      </c>
      <c r="U130" s="96">
        <f t="shared" si="59"/>
        <v>21604.411919999999</v>
      </c>
      <c r="V130" s="96">
        <f t="shared" si="59"/>
        <v>16529.809659999999</v>
      </c>
      <c r="W130" s="96"/>
      <c r="X130" s="96">
        <f t="shared" si="57"/>
        <v>6537508.9852799997</v>
      </c>
    </row>
    <row r="131" spans="6:24" x14ac:dyDescent="0.25">
      <c r="F131" s="254">
        <v>2008</v>
      </c>
      <c r="G131" s="96">
        <f t="shared" ref="G131:V131" si="60">G69*$V29</f>
        <v>0</v>
      </c>
      <c r="H131" s="96">
        <f t="shared" si="60"/>
        <v>3511661.1202400001</v>
      </c>
      <c r="I131" s="96">
        <f t="shared" si="60"/>
        <v>0</v>
      </c>
      <c r="J131" s="96">
        <f t="shared" si="60"/>
        <v>0</v>
      </c>
      <c r="K131" s="96">
        <f t="shared" si="60"/>
        <v>629607.85705999995</v>
      </c>
      <c r="L131" s="96">
        <f t="shared" si="60"/>
        <v>1915204.3146600001</v>
      </c>
      <c r="M131" s="96">
        <f t="shared" si="60"/>
        <v>92.612520000000004</v>
      </c>
      <c r="N131" s="96">
        <f t="shared" si="60"/>
        <v>0</v>
      </c>
      <c r="O131" s="96">
        <f t="shared" si="60"/>
        <v>2.18946</v>
      </c>
      <c r="P131" s="96">
        <f t="shared" si="60"/>
        <v>0</v>
      </c>
      <c r="Q131" s="96">
        <f t="shared" si="60"/>
        <v>0</v>
      </c>
      <c r="R131" s="96">
        <f t="shared" si="60"/>
        <v>157176.93446000022</v>
      </c>
      <c r="S131" s="96">
        <f t="shared" si="60"/>
        <v>33902.704290000001</v>
      </c>
      <c r="T131" s="96">
        <f t="shared" si="60"/>
        <v>1.82E-3</v>
      </c>
      <c r="U131" s="96">
        <f t="shared" si="60"/>
        <v>0</v>
      </c>
      <c r="V131" s="96">
        <f t="shared" si="60"/>
        <v>629.08390999999995</v>
      </c>
      <c r="W131" s="96"/>
      <c r="X131" s="96">
        <f t="shared" si="57"/>
        <v>6248276.8184199994</v>
      </c>
    </row>
    <row r="132" spans="6:24" x14ac:dyDescent="0.25">
      <c r="F132" s="254">
        <v>2009</v>
      </c>
      <c r="G132" s="96">
        <f t="shared" ref="G132:V132" si="61">G70*$V30</f>
        <v>0</v>
      </c>
      <c r="H132" s="96">
        <f t="shared" si="61"/>
        <v>3392977.3240999999</v>
      </c>
      <c r="I132" s="96">
        <f t="shared" si="61"/>
        <v>0</v>
      </c>
      <c r="J132" s="96">
        <f t="shared" si="61"/>
        <v>0</v>
      </c>
      <c r="K132" s="96">
        <f t="shared" si="61"/>
        <v>335200.64122999995</v>
      </c>
      <c r="L132" s="96">
        <f t="shared" si="61"/>
        <v>2041661.8131000001</v>
      </c>
      <c r="M132" s="96">
        <f t="shared" si="61"/>
        <v>204.93745999999999</v>
      </c>
      <c r="N132" s="96">
        <f t="shared" si="61"/>
        <v>0</v>
      </c>
      <c r="O132" s="96">
        <f t="shared" si="61"/>
        <v>1.05287</v>
      </c>
      <c r="P132" s="96">
        <f t="shared" si="61"/>
        <v>0</v>
      </c>
      <c r="Q132" s="96">
        <f t="shared" si="61"/>
        <v>0</v>
      </c>
      <c r="R132" s="96">
        <f t="shared" si="61"/>
        <v>143848.31642999969</v>
      </c>
      <c r="S132" s="96">
        <f t="shared" si="61"/>
        <v>35750.381939999999</v>
      </c>
      <c r="T132" s="96">
        <f t="shared" si="61"/>
        <v>0</v>
      </c>
      <c r="U132" s="96">
        <f t="shared" si="61"/>
        <v>0</v>
      </c>
      <c r="V132" s="96">
        <f t="shared" si="61"/>
        <v>362.03895</v>
      </c>
      <c r="W132" s="96"/>
      <c r="X132" s="96">
        <f t="shared" si="57"/>
        <v>5950006.5060799988</v>
      </c>
    </row>
    <row r="133" spans="6:24" x14ac:dyDescent="0.25">
      <c r="F133" s="254">
        <v>2010</v>
      </c>
      <c r="G133" s="96">
        <f t="shared" ref="G133:V133" si="62">G71*$V31</f>
        <v>0</v>
      </c>
      <c r="H133" s="96">
        <f t="shared" si="62"/>
        <v>3206774.3771699998</v>
      </c>
      <c r="I133" s="96">
        <f t="shared" si="62"/>
        <v>0</v>
      </c>
      <c r="J133" s="96">
        <f t="shared" si="62"/>
        <v>0</v>
      </c>
      <c r="K133" s="96">
        <f t="shared" si="62"/>
        <v>188800.30168999999</v>
      </c>
      <c r="L133" s="96">
        <f t="shared" si="62"/>
        <v>2143752.5846100003</v>
      </c>
      <c r="M133" s="96">
        <f t="shared" si="62"/>
        <v>139.44111999999998</v>
      </c>
      <c r="N133" s="96">
        <f t="shared" si="62"/>
        <v>0</v>
      </c>
      <c r="O133" s="96">
        <f t="shared" si="62"/>
        <v>19467.793799999999</v>
      </c>
      <c r="P133" s="96">
        <f t="shared" si="62"/>
        <v>0</v>
      </c>
      <c r="Q133" s="96">
        <f t="shared" si="62"/>
        <v>0</v>
      </c>
      <c r="R133" s="96">
        <f t="shared" si="62"/>
        <v>138762.72592000043</v>
      </c>
      <c r="S133" s="96">
        <f t="shared" si="62"/>
        <v>28965.198079999998</v>
      </c>
      <c r="T133" s="96">
        <f t="shared" si="62"/>
        <v>0</v>
      </c>
      <c r="U133" s="96">
        <f t="shared" si="62"/>
        <v>0</v>
      </c>
      <c r="V133" s="96">
        <f t="shared" si="62"/>
        <v>301.52758999999998</v>
      </c>
      <c r="W133" s="96"/>
      <c r="X133" s="96">
        <f t="shared" si="57"/>
        <v>5726963.9499799991</v>
      </c>
    </row>
    <row r="134" spans="6:24" x14ac:dyDescent="0.25">
      <c r="F134" s="254">
        <v>2011</v>
      </c>
      <c r="G134" s="96">
        <f t="shared" ref="G134:V134" si="63">G72*$V32</f>
        <v>0</v>
      </c>
      <c r="H134" s="96">
        <f t="shared" si="63"/>
        <v>2885150.9486799999</v>
      </c>
      <c r="I134" s="96">
        <f t="shared" si="63"/>
        <v>0</v>
      </c>
      <c r="J134" s="96">
        <f t="shared" si="63"/>
        <v>0</v>
      </c>
      <c r="K134" s="96">
        <f t="shared" si="63"/>
        <v>116497.77138999999</v>
      </c>
      <c r="L134" s="96">
        <f t="shared" si="63"/>
        <v>2465114.9486600002</v>
      </c>
      <c r="M134" s="96">
        <f t="shared" si="63"/>
        <v>19363.205679999999</v>
      </c>
      <c r="N134" s="96">
        <f t="shared" si="63"/>
        <v>0</v>
      </c>
      <c r="O134" s="96">
        <f t="shared" si="63"/>
        <v>102926.8968</v>
      </c>
      <c r="P134" s="96">
        <f t="shared" si="63"/>
        <v>0</v>
      </c>
      <c r="Q134" s="96">
        <f t="shared" si="63"/>
        <v>0</v>
      </c>
      <c r="R134" s="96">
        <f t="shared" si="63"/>
        <v>114708.46113999991</v>
      </c>
      <c r="S134" s="96">
        <f t="shared" si="63"/>
        <v>31486.4277</v>
      </c>
      <c r="T134" s="96">
        <f t="shared" si="63"/>
        <v>0</v>
      </c>
      <c r="U134" s="96">
        <f t="shared" si="63"/>
        <v>0</v>
      </c>
      <c r="V134" s="96">
        <f t="shared" si="63"/>
        <v>5.2779999999999996</v>
      </c>
      <c r="W134" s="96"/>
      <c r="X134" s="96">
        <f t="shared" si="57"/>
        <v>5735253.93805</v>
      </c>
    </row>
    <row r="135" spans="6:24" x14ac:dyDescent="0.25">
      <c r="F135" s="254">
        <v>2012</v>
      </c>
      <c r="G135" s="96">
        <f t="shared" ref="G135:V135" si="64">G73*$V33</f>
        <v>0</v>
      </c>
      <c r="H135" s="96">
        <f t="shared" si="64"/>
        <v>2685927.8461433281</v>
      </c>
      <c r="I135" s="96">
        <f t="shared" si="64"/>
        <v>0</v>
      </c>
      <c r="J135" s="96">
        <f t="shared" si="64"/>
        <v>0</v>
      </c>
      <c r="K135" s="96">
        <f t="shared" si="64"/>
        <v>106299.24352778305</v>
      </c>
      <c r="L135" s="96">
        <f t="shared" si="64"/>
        <v>2710405.8682890483</v>
      </c>
      <c r="M135" s="96">
        <f t="shared" si="64"/>
        <v>12968.367174532954</v>
      </c>
      <c r="N135" s="96">
        <f t="shared" si="64"/>
        <v>0</v>
      </c>
      <c r="O135" s="96">
        <f t="shared" si="64"/>
        <v>4348.2251548376062</v>
      </c>
      <c r="P135" s="96">
        <f t="shared" si="64"/>
        <v>0</v>
      </c>
      <c r="Q135" s="96">
        <f t="shared" si="64"/>
        <v>0</v>
      </c>
      <c r="R135" s="96">
        <f t="shared" si="64"/>
        <v>100728.71097360211</v>
      </c>
      <c r="S135" s="96">
        <f t="shared" si="64"/>
        <v>3144.7855559751965</v>
      </c>
      <c r="T135" s="96">
        <f t="shared" si="64"/>
        <v>0</v>
      </c>
      <c r="U135" s="96">
        <f t="shared" si="64"/>
        <v>0</v>
      </c>
      <c r="V135" s="96">
        <f t="shared" si="64"/>
        <v>0</v>
      </c>
      <c r="W135" s="96"/>
      <c r="X135" s="96">
        <f t="shared" si="57"/>
        <v>5623823.0468191076</v>
      </c>
    </row>
    <row r="136" spans="6:24" x14ac:dyDescent="0.25">
      <c r="F136" s="254">
        <v>2013</v>
      </c>
      <c r="G136" s="96">
        <f t="shared" ref="G136:V136" si="65">G74*$V34</f>
        <v>573030.75624999031</v>
      </c>
      <c r="H136" s="96">
        <f t="shared" si="65"/>
        <v>1892551.8791283146</v>
      </c>
      <c r="I136" s="96">
        <f t="shared" si="65"/>
        <v>0</v>
      </c>
      <c r="J136" s="96">
        <f t="shared" si="65"/>
        <v>0</v>
      </c>
      <c r="K136" s="96">
        <f t="shared" si="65"/>
        <v>99115.916416166481</v>
      </c>
      <c r="L136" s="96">
        <f t="shared" si="65"/>
        <v>2641519.2871986865</v>
      </c>
      <c r="M136" s="96">
        <f t="shared" si="65"/>
        <v>17697.462397636118</v>
      </c>
      <c r="N136" s="96">
        <f t="shared" si="65"/>
        <v>0</v>
      </c>
      <c r="O136" s="96">
        <f t="shared" si="65"/>
        <v>6.1768708648502475</v>
      </c>
      <c r="P136" s="96">
        <f t="shared" si="65"/>
        <v>0</v>
      </c>
      <c r="Q136" s="96">
        <f t="shared" si="65"/>
        <v>0</v>
      </c>
      <c r="R136" s="96">
        <f t="shared" si="65"/>
        <v>70383.834824581165</v>
      </c>
      <c r="S136" s="96">
        <f t="shared" si="65"/>
        <v>11.546322721946238</v>
      </c>
      <c r="T136" s="96">
        <f t="shared" si="65"/>
        <v>0</v>
      </c>
      <c r="U136" s="96">
        <f t="shared" si="65"/>
        <v>0</v>
      </c>
      <c r="V136" s="96">
        <f t="shared" si="65"/>
        <v>0</v>
      </c>
      <c r="W136" s="96"/>
      <c r="X136" s="96">
        <f t="shared" si="57"/>
        <v>5294316.8594089616</v>
      </c>
    </row>
    <row r="137" spans="6:24" x14ac:dyDescent="0.25">
      <c r="F137" s="254">
        <v>2014</v>
      </c>
      <c r="G137" s="96">
        <f t="shared" ref="G137:V137" si="66">G75*$V35</f>
        <v>887816.00513893354</v>
      </c>
      <c r="H137" s="96">
        <f t="shared" si="66"/>
        <v>1978702.6233211302</v>
      </c>
      <c r="I137" s="96">
        <f t="shared" si="66"/>
        <v>0</v>
      </c>
      <c r="J137" s="96">
        <f t="shared" si="66"/>
        <v>71085.64910631832</v>
      </c>
      <c r="K137" s="96">
        <f t="shared" si="66"/>
        <v>239262.64126791456</v>
      </c>
      <c r="L137" s="96">
        <f t="shared" si="66"/>
        <v>3528324.6510387827</v>
      </c>
      <c r="M137" s="96">
        <f t="shared" si="66"/>
        <v>5642.2420392673503</v>
      </c>
      <c r="N137" s="96">
        <f t="shared" si="66"/>
        <v>0</v>
      </c>
      <c r="O137" s="96">
        <f t="shared" si="66"/>
        <v>0</v>
      </c>
      <c r="P137" s="96">
        <f t="shared" si="66"/>
        <v>0</v>
      </c>
      <c r="Q137" s="96">
        <f t="shared" si="66"/>
        <v>0</v>
      </c>
      <c r="R137" s="96">
        <f t="shared" si="66"/>
        <v>0</v>
      </c>
      <c r="S137" s="96">
        <f t="shared" si="66"/>
        <v>0</v>
      </c>
      <c r="T137" s="96">
        <f t="shared" si="66"/>
        <v>0</v>
      </c>
      <c r="U137" s="96">
        <f t="shared" si="66"/>
        <v>0</v>
      </c>
      <c r="V137" s="96">
        <f t="shared" si="66"/>
        <v>0</v>
      </c>
      <c r="W137" s="96"/>
      <c r="X137" s="96">
        <f t="shared" si="57"/>
        <v>6710833.8119123457</v>
      </c>
    </row>
    <row r="138" spans="6:24" x14ac:dyDescent="0.25">
      <c r="F138" s="254">
        <v>2015</v>
      </c>
      <c r="G138" s="96">
        <f t="shared" ref="G138:V138" si="67">G76*$V36</f>
        <v>971444.97358754789</v>
      </c>
      <c r="H138" s="96">
        <f t="shared" si="67"/>
        <v>1995423.4550145124</v>
      </c>
      <c r="I138" s="96">
        <f t="shared" si="67"/>
        <v>0</v>
      </c>
      <c r="J138" s="96">
        <f t="shared" si="67"/>
        <v>65489.169624168615</v>
      </c>
      <c r="K138" s="96">
        <f t="shared" si="67"/>
        <v>214756.04330937855</v>
      </c>
      <c r="L138" s="96">
        <f t="shared" si="67"/>
        <v>3600192.9413494868</v>
      </c>
      <c r="M138" s="96">
        <f t="shared" si="67"/>
        <v>28980.017981682257</v>
      </c>
      <c r="N138" s="96">
        <f t="shared" si="67"/>
        <v>0</v>
      </c>
      <c r="O138" s="96">
        <f t="shared" si="67"/>
        <v>11564.605223108312</v>
      </c>
      <c r="P138" s="96">
        <f t="shared" si="67"/>
        <v>0</v>
      </c>
      <c r="Q138" s="96">
        <f t="shared" si="67"/>
        <v>0</v>
      </c>
      <c r="R138" s="96">
        <f t="shared" si="67"/>
        <v>0</v>
      </c>
      <c r="S138" s="96">
        <f t="shared" si="67"/>
        <v>0</v>
      </c>
      <c r="T138" s="96">
        <f t="shared" si="67"/>
        <v>0</v>
      </c>
      <c r="U138" s="96">
        <f t="shared" si="67"/>
        <v>0</v>
      </c>
      <c r="V138" s="96">
        <f t="shared" si="67"/>
        <v>0</v>
      </c>
      <c r="W138" s="96"/>
      <c r="X138" s="96">
        <f t="shared" si="57"/>
        <v>6887851.206089884</v>
      </c>
    </row>
    <row r="139" spans="6:24" x14ac:dyDescent="0.25">
      <c r="F139" s="254">
        <v>2016</v>
      </c>
      <c r="G139" s="96">
        <f t="shared" ref="G139:V139" si="68">G77*$V37</f>
        <v>1309925.2873673157</v>
      </c>
      <c r="H139" s="96">
        <f t="shared" si="68"/>
        <v>2608654.8783531496</v>
      </c>
      <c r="I139" s="96">
        <f t="shared" si="68"/>
        <v>0</v>
      </c>
      <c r="J139" s="96">
        <f t="shared" si="68"/>
        <v>85048.038224526041</v>
      </c>
      <c r="K139" s="96">
        <f t="shared" si="68"/>
        <v>309837.43987750105</v>
      </c>
      <c r="L139" s="96">
        <f t="shared" si="68"/>
        <v>4779727.9330785666</v>
      </c>
      <c r="M139" s="96">
        <f t="shared" si="68"/>
        <v>151947.04064628101</v>
      </c>
      <c r="N139" s="96">
        <f t="shared" si="68"/>
        <v>0</v>
      </c>
      <c r="O139" s="96">
        <f t="shared" si="68"/>
        <v>65490.33423592789</v>
      </c>
      <c r="P139" s="96">
        <f t="shared" si="68"/>
        <v>0</v>
      </c>
      <c r="Q139" s="96">
        <f t="shared" si="68"/>
        <v>0</v>
      </c>
      <c r="R139" s="96">
        <f t="shared" si="68"/>
        <v>0</v>
      </c>
      <c r="S139" s="96">
        <f t="shared" si="68"/>
        <v>0</v>
      </c>
      <c r="T139" s="96">
        <f t="shared" si="68"/>
        <v>0</v>
      </c>
      <c r="U139" s="96">
        <f t="shared" si="68"/>
        <v>0</v>
      </c>
      <c r="V139" s="96">
        <f t="shared" si="68"/>
        <v>0</v>
      </c>
      <c r="W139" s="96"/>
      <c r="X139" s="96">
        <f t="shared" si="57"/>
        <v>9310630.9517832678</v>
      </c>
    </row>
    <row r="140" spans="6:24" x14ac:dyDescent="0.25">
      <c r="F140" s="254">
        <v>2017</v>
      </c>
      <c r="G140" s="96">
        <f t="shared" ref="G140:V140" si="69">G78*$V38</f>
        <v>1049073.5590390109</v>
      </c>
      <c r="H140" s="96">
        <f t="shared" si="69"/>
        <v>2136964.4816890131</v>
      </c>
      <c r="I140" s="96">
        <f t="shared" si="69"/>
        <v>0</v>
      </c>
      <c r="J140" s="96">
        <f t="shared" si="69"/>
        <v>76826.879548460871</v>
      </c>
      <c r="K140" s="96">
        <f t="shared" si="69"/>
        <v>238718.42939480569</v>
      </c>
      <c r="L140" s="96">
        <f t="shared" si="69"/>
        <v>4896820.2557124011</v>
      </c>
      <c r="M140" s="96">
        <f t="shared" si="69"/>
        <v>140669.38506829686</v>
      </c>
      <c r="N140" s="96">
        <f t="shared" si="69"/>
        <v>25484.044875511085</v>
      </c>
      <c r="O140" s="96">
        <f t="shared" si="69"/>
        <v>95663.150342479843</v>
      </c>
      <c r="P140" s="96">
        <f t="shared" si="69"/>
        <v>0</v>
      </c>
      <c r="Q140" s="96">
        <f t="shared" si="69"/>
        <v>0</v>
      </c>
      <c r="R140" s="96">
        <f t="shared" si="69"/>
        <v>0</v>
      </c>
      <c r="S140" s="96">
        <f t="shared" si="69"/>
        <v>0</v>
      </c>
      <c r="T140" s="96">
        <f t="shared" si="69"/>
        <v>0</v>
      </c>
      <c r="U140" s="96">
        <f t="shared" si="69"/>
        <v>0</v>
      </c>
      <c r="V140" s="96">
        <f t="shared" si="69"/>
        <v>0</v>
      </c>
      <c r="W140" s="96"/>
      <c r="X140" s="96">
        <f t="shared" si="57"/>
        <v>8660220.1856699809</v>
      </c>
    </row>
    <row r="141" spans="6:24" x14ac:dyDescent="0.25">
      <c r="F141" s="254">
        <v>2018</v>
      </c>
      <c r="G141" s="96">
        <f t="shared" ref="G141:V141" si="70">G79*$V39</f>
        <v>1121368.2031766085</v>
      </c>
      <c r="H141" s="96">
        <f t="shared" si="70"/>
        <v>2159603.9845950012</v>
      </c>
      <c r="I141" s="96">
        <f t="shared" si="70"/>
        <v>3.8137389721144806E-3</v>
      </c>
      <c r="J141" s="96">
        <f t="shared" si="70"/>
        <v>72417.865131271814</v>
      </c>
      <c r="K141" s="96">
        <f t="shared" si="70"/>
        <v>136103.28628470702</v>
      </c>
      <c r="L141" s="96">
        <f t="shared" si="70"/>
        <v>4955529.8085065857</v>
      </c>
      <c r="M141" s="96">
        <f t="shared" si="70"/>
        <v>112225.02990718593</v>
      </c>
      <c r="N141" s="96">
        <f t="shared" si="70"/>
        <v>237154.75987126422</v>
      </c>
      <c r="O141" s="96">
        <f t="shared" si="70"/>
        <v>59422.13388624377</v>
      </c>
      <c r="P141" s="96">
        <f t="shared" si="70"/>
        <v>28751.301393399553</v>
      </c>
      <c r="Q141" s="96">
        <f t="shared" si="70"/>
        <v>17880.71517075874</v>
      </c>
      <c r="R141" s="96">
        <f t="shared" si="70"/>
        <v>0</v>
      </c>
      <c r="S141" s="96">
        <f t="shared" si="70"/>
        <v>0</v>
      </c>
      <c r="T141" s="96">
        <f t="shared" si="70"/>
        <v>0</v>
      </c>
      <c r="U141" s="96">
        <f t="shared" si="70"/>
        <v>0</v>
      </c>
      <c r="V141" s="96">
        <f t="shared" si="70"/>
        <v>0</v>
      </c>
      <c r="W141" s="96"/>
      <c r="X141" s="96">
        <f t="shared" si="57"/>
        <v>8900457.0917367656</v>
      </c>
    </row>
    <row r="142" spans="6:24" x14ac:dyDescent="0.25">
      <c r="F142" s="254">
        <v>2019</v>
      </c>
      <c r="G142" s="96">
        <f t="shared" ref="G142:V142" si="71">G80*$V40</f>
        <v>1088993.5019480651</v>
      </c>
      <c r="H142" s="96">
        <f t="shared" si="71"/>
        <v>1925108.6387122301</v>
      </c>
      <c r="I142" s="96">
        <f t="shared" si="71"/>
        <v>4955.8859532077395</v>
      </c>
      <c r="J142" s="96">
        <f t="shared" si="71"/>
        <v>66663.518949196819</v>
      </c>
      <c r="K142" s="96">
        <f t="shared" si="71"/>
        <v>95820.376278120821</v>
      </c>
      <c r="L142" s="96">
        <f t="shared" si="71"/>
        <v>4050504.9160341788</v>
      </c>
      <c r="M142" s="96">
        <f t="shared" si="71"/>
        <v>35606.749787623005</v>
      </c>
      <c r="N142" s="96">
        <f t="shared" si="71"/>
        <v>249145.39025565938</v>
      </c>
      <c r="O142" s="96">
        <f t="shared" si="71"/>
        <v>23662.90308679545</v>
      </c>
      <c r="P142" s="96">
        <f t="shared" si="71"/>
        <v>46753.689242811699</v>
      </c>
      <c r="Q142" s="96">
        <f t="shared" si="71"/>
        <v>0</v>
      </c>
      <c r="R142" s="96">
        <f t="shared" si="71"/>
        <v>0</v>
      </c>
      <c r="S142" s="96">
        <f t="shared" si="71"/>
        <v>0</v>
      </c>
      <c r="T142" s="96">
        <f t="shared" si="71"/>
        <v>0</v>
      </c>
      <c r="U142" s="96">
        <f t="shared" si="71"/>
        <v>0</v>
      </c>
      <c r="V142" s="96">
        <f t="shared" si="71"/>
        <v>0</v>
      </c>
      <c r="W142" s="96"/>
      <c r="X142" s="96">
        <f t="shared" si="57"/>
        <v>7587215.5702478895</v>
      </c>
    </row>
    <row r="143" spans="6:24" x14ac:dyDescent="0.25">
      <c r="F143" s="254">
        <v>2020</v>
      </c>
      <c r="G143" s="96">
        <f t="shared" ref="G143:V143" si="72">G81*$V41</f>
        <v>0</v>
      </c>
      <c r="H143" s="96">
        <f t="shared" si="72"/>
        <v>0</v>
      </c>
      <c r="I143" s="96">
        <f t="shared" si="72"/>
        <v>0</v>
      </c>
      <c r="J143" s="96">
        <f t="shared" si="72"/>
        <v>0</v>
      </c>
      <c r="K143" s="96">
        <f t="shared" si="72"/>
        <v>0</v>
      </c>
      <c r="L143" s="96">
        <f t="shared" si="72"/>
        <v>0</v>
      </c>
      <c r="M143" s="96">
        <f t="shared" si="72"/>
        <v>0</v>
      </c>
      <c r="N143" s="96">
        <f t="shared" si="72"/>
        <v>0</v>
      </c>
      <c r="O143" s="96">
        <f t="shared" si="72"/>
        <v>0</v>
      </c>
      <c r="P143" s="96">
        <f t="shared" si="72"/>
        <v>0</v>
      </c>
      <c r="Q143" s="96">
        <f t="shared" si="72"/>
        <v>0</v>
      </c>
      <c r="R143" s="96">
        <f t="shared" si="72"/>
        <v>0</v>
      </c>
      <c r="S143" s="96">
        <f t="shared" si="72"/>
        <v>0</v>
      </c>
      <c r="T143" s="96">
        <f t="shared" si="72"/>
        <v>0</v>
      </c>
      <c r="U143" s="96">
        <f t="shared" si="72"/>
        <v>0</v>
      </c>
      <c r="V143" s="96">
        <f t="shared" si="72"/>
        <v>0</v>
      </c>
      <c r="W143" s="96"/>
      <c r="X143" s="96">
        <f t="shared" si="57"/>
        <v>0</v>
      </c>
    </row>
    <row r="144" spans="6:24" x14ac:dyDescent="0.25">
      <c r="F144" s="254">
        <v>2021</v>
      </c>
      <c r="G144" s="96">
        <f t="shared" ref="G144:V144" si="73">G82*$V42</f>
        <v>0</v>
      </c>
      <c r="H144" s="96">
        <f t="shared" si="73"/>
        <v>0</v>
      </c>
      <c r="I144" s="96">
        <f t="shared" si="73"/>
        <v>0</v>
      </c>
      <c r="J144" s="96">
        <f t="shared" si="73"/>
        <v>0</v>
      </c>
      <c r="K144" s="96">
        <f t="shared" si="73"/>
        <v>0</v>
      </c>
      <c r="L144" s="96">
        <f t="shared" si="73"/>
        <v>0</v>
      </c>
      <c r="M144" s="96">
        <f t="shared" si="73"/>
        <v>0</v>
      </c>
      <c r="N144" s="96">
        <f t="shared" si="73"/>
        <v>0</v>
      </c>
      <c r="O144" s="96">
        <f t="shared" si="73"/>
        <v>0</v>
      </c>
      <c r="P144" s="96">
        <f t="shared" si="73"/>
        <v>0</v>
      </c>
      <c r="Q144" s="96">
        <f t="shared" si="73"/>
        <v>0</v>
      </c>
      <c r="R144" s="96">
        <f t="shared" si="73"/>
        <v>0</v>
      </c>
      <c r="S144" s="96">
        <f t="shared" si="73"/>
        <v>0</v>
      </c>
      <c r="T144" s="96">
        <f t="shared" si="73"/>
        <v>0</v>
      </c>
      <c r="U144" s="96">
        <f t="shared" si="73"/>
        <v>0</v>
      </c>
      <c r="V144" s="96">
        <f t="shared" si="73"/>
        <v>0</v>
      </c>
      <c r="W144" s="96"/>
      <c r="X144" s="96">
        <f t="shared" si="57"/>
        <v>0</v>
      </c>
    </row>
    <row r="145" spans="4:26" x14ac:dyDescent="0.25">
      <c r="G145" s="199">
        <f t="shared" ref="G145:V145" si="74">SUM(G128:G144)</f>
        <v>7001652.2865074715</v>
      </c>
      <c r="H145" s="199">
        <f t="shared" si="74"/>
        <v>38355988.643896669</v>
      </c>
      <c r="I145" s="199">
        <f t="shared" si="74"/>
        <v>4955.8897669467115</v>
      </c>
      <c r="J145" s="199">
        <f t="shared" si="74"/>
        <v>437531.12058394251</v>
      </c>
      <c r="K145" s="199">
        <f t="shared" si="74"/>
        <v>4589098.7620663773</v>
      </c>
      <c r="L145" s="199">
        <f t="shared" si="74"/>
        <v>44941020.003137745</v>
      </c>
      <c r="M145" s="199">
        <f t="shared" si="74"/>
        <v>541351.3007925055</v>
      </c>
      <c r="N145" s="199">
        <f t="shared" si="74"/>
        <v>511784.19500243466</v>
      </c>
      <c r="O145" s="199">
        <f t="shared" si="74"/>
        <v>382827.62362025771</v>
      </c>
      <c r="P145" s="199">
        <f t="shared" si="74"/>
        <v>75504.990636211252</v>
      </c>
      <c r="Q145" s="199">
        <f t="shared" si="74"/>
        <v>17880.71517075874</v>
      </c>
      <c r="R145" s="199">
        <f t="shared" si="74"/>
        <v>3508582.6544981836</v>
      </c>
      <c r="S145" s="199">
        <f t="shared" si="74"/>
        <v>209527.70344869714</v>
      </c>
      <c r="T145" s="199">
        <f t="shared" si="74"/>
        <v>108951.14048</v>
      </c>
      <c r="U145" s="199">
        <f t="shared" si="74"/>
        <v>129605.81543</v>
      </c>
      <c r="V145" s="199">
        <f t="shared" si="74"/>
        <v>129523.49046</v>
      </c>
      <c r="X145" s="199">
        <f>SUM(X128:X144)</f>
        <v>100945786.33549818</v>
      </c>
      <c r="Y145" s="96">
        <f>SUM(G145:V145)-X145</f>
        <v>0</v>
      </c>
      <c r="Z145" s="96" t="s">
        <v>223</v>
      </c>
    </row>
    <row r="146" spans="4:26" ht="15.75" thickBot="1" x14ac:dyDescent="0.3">
      <c r="D146" s="196" t="s">
        <v>226</v>
      </c>
      <c r="F146" s="245" t="s">
        <v>224</v>
      </c>
      <c r="G146" s="243">
        <f t="shared" ref="G146:V146" si="75">SUM(G135:G144)</f>
        <v>7001652.2865074715</v>
      </c>
      <c r="H146" s="243">
        <f t="shared" si="75"/>
        <v>17382937.786956679</v>
      </c>
      <c r="I146" s="243">
        <f t="shared" si="75"/>
        <v>4955.8897669467115</v>
      </c>
      <c r="J146" s="243">
        <f t="shared" si="75"/>
        <v>437531.12058394251</v>
      </c>
      <c r="K146" s="243">
        <f t="shared" si="75"/>
        <v>1439913.376356377</v>
      </c>
      <c r="L146" s="243">
        <f t="shared" si="75"/>
        <v>31163025.661207736</v>
      </c>
      <c r="M146" s="243">
        <f t="shared" si="75"/>
        <v>505736.29500250547</v>
      </c>
      <c r="N146" s="243">
        <f t="shared" si="75"/>
        <v>511784.19500243466</v>
      </c>
      <c r="O146" s="243">
        <f t="shared" si="75"/>
        <v>260157.52880025771</v>
      </c>
      <c r="P146" s="243">
        <f t="shared" si="75"/>
        <v>75504.990636211252</v>
      </c>
      <c r="Q146" s="243">
        <f t="shared" si="75"/>
        <v>17880.71517075874</v>
      </c>
      <c r="R146" s="243">
        <f t="shared" si="75"/>
        <v>171112.54579818327</v>
      </c>
      <c r="S146" s="243">
        <f t="shared" si="75"/>
        <v>3156.3318786971427</v>
      </c>
      <c r="T146" s="243">
        <f t="shared" si="75"/>
        <v>0</v>
      </c>
      <c r="U146" s="243">
        <f t="shared" si="75"/>
        <v>0</v>
      </c>
      <c r="V146" s="243">
        <f t="shared" si="75"/>
        <v>0</v>
      </c>
      <c r="W146" s="244"/>
      <c r="X146" s="243">
        <f>SUM(G146:V146)</f>
        <v>58975348.723668203</v>
      </c>
      <c r="Y146" s="96">
        <f>SUM(G135:V144)-X146</f>
        <v>0</v>
      </c>
      <c r="Z146" s="96" t="s">
        <v>223</v>
      </c>
    </row>
    <row r="148" spans="4:26" x14ac:dyDescent="0.25">
      <c r="D148" s="196" t="s">
        <v>225</v>
      </c>
      <c r="F148" s="254">
        <v>2005</v>
      </c>
      <c r="G148" s="96">
        <f t="shared" ref="G148:V148" si="76">G108+G128</f>
        <v>0</v>
      </c>
      <c r="H148" s="96">
        <f t="shared" si="76"/>
        <v>7831140.3106794003</v>
      </c>
      <c r="I148" s="96">
        <f t="shared" si="76"/>
        <v>0</v>
      </c>
      <c r="J148" s="96">
        <f t="shared" si="76"/>
        <v>0</v>
      </c>
      <c r="K148" s="96">
        <f t="shared" si="76"/>
        <v>2146930.9535677498</v>
      </c>
      <c r="L148" s="96">
        <f t="shared" si="76"/>
        <v>4835524.2575540999</v>
      </c>
      <c r="M148" s="96">
        <f t="shared" si="76"/>
        <v>245.57392199999998</v>
      </c>
      <c r="N148" s="96">
        <f t="shared" si="76"/>
        <v>0</v>
      </c>
      <c r="O148" s="96">
        <f t="shared" si="76"/>
        <v>883.65292349999993</v>
      </c>
      <c r="P148" s="96">
        <f t="shared" si="76"/>
        <v>0</v>
      </c>
      <c r="Q148" s="96">
        <f t="shared" si="76"/>
        <v>0</v>
      </c>
      <c r="R148" s="96">
        <f t="shared" si="76"/>
        <v>3773454.6025430998</v>
      </c>
      <c r="S148" s="96">
        <f t="shared" si="76"/>
        <v>65769.51590025</v>
      </c>
      <c r="T148" s="96">
        <f t="shared" si="76"/>
        <v>156556.35090075003</v>
      </c>
      <c r="U148" s="96">
        <f t="shared" si="76"/>
        <v>178918.0057332</v>
      </c>
      <c r="V148" s="96">
        <f t="shared" si="76"/>
        <v>197466.95274779998</v>
      </c>
      <c r="X148" s="96">
        <f t="shared" ref="X148:X164" si="77">SUM(G148:V148)</f>
        <v>19186890.176471848</v>
      </c>
    </row>
    <row r="149" spans="4:26" x14ac:dyDescent="0.25">
      <c r="F149" s="254">
        <v>2006</v>
      </c>
      <c r="G149" s="96">
        <f t="shared" ref="G149:V149" si="78">G109+G129</f>
        <v>0</v>
      </c>
      <c r="H149" s="96">
        <f t="shared" si="78"/>
        <v>8247678.3476131503</v>
      </c>
      <c r="I149" s="96">
        <f t="shared" si="78"/>
        <v>0</v>
      </c>
      <c r="J149" s="96">
        <f t="shared" si="78"/>
        <v>0</v>
      </c>
      <c r="K149" s="96">
        <f t="shared" si="78"/>
        <v>2182129.0878597</v>
      </c>
      <c r="L149" s="96">
        <f t="shared" si="78"/>
        <v>5906055.7380547505</v>
      </c>
      <c r="M149" s="96">
        <f t="shared" si="78"/>
        <v>540.62648730000001</v>
      </c>
      <c r="N149" s="96">
        <f t="shared" si="78"/>
        <v>0</v>
      </c>
      <c r="O149" s="96">
        <f t="shared" si="78"/>
        <v>30.456223350000002</v>
      </c>
      <c r="P149" s="96">
        <f t="shared" si="78"/>
        <v>0</v>
      </c>
      <c r="Q149" s="96">
        <f t="shared" si="78"/>
        <v>0</v>
      </c>
      <c r="R149" s="96">
        <f t="shared" si="78"/>
        <v>3782398.8124276502</v>
      </c>
      <c r="S149" s="96">
        <f t="shared" si="78"/>
        <v>88082.814501599991</v>
      </c>
      <c r="T149" s="96">
        <f t="shared" si="78"/>
        <v>129195.80823645002</v>
      </c>
      <c r="U149" s="96">
        <f t="shared" si="78"/>
        <v>187046.53030335001</v>
      </c>
      <c r="V149" s="96">
        <f t="shared" si="78"/>
        <v>181015.94522895</v>
      </c>
      <c r="X149" s="96">
        <f t="shared" si="77"/>
        <v>20704174.166936249</v>
      </c>
    </row>
    <row r="150" spans="4:26" x14ac:dyDescent="0.25">
      <c r="F150" s="254">
        <v>2007</v>
      </c>
      <c r="G150" s="96">
        <f t="shared" ref="G150:V150" si="79">G110+G130</f>
        <v>0</v>
      </c>
      <c r="H150" s="96">
        <f t="shared" si="79"/>
        <v>10949639.3157162</v>
      </c>
      <c r="I150" s="96">
        <f t="shared" si="79"/>
        <v>0</v>
      </c>
      <c r="J150" s="96">
        <f t="shared" si="79"/>
        <v>0</v>
      </c>
      <c r="K150" s="96">
        <f t="shared" si="79"/>
        <v>2038229.49479025</v>
      </c>
      <c r="L150" s="96">
        <f t="shared" si="79"/>
        <v>6920251.2380056512</v>
      </c>
      <c r="M150" s="96">
        <f t="shared" si="79"/>
        <v>52802.540604750007</v>
      </c>
      <c r="N150" s="96">
        <f t="shared" si="79"/>
        <v>0</v>
      </c>
      <c r="O150" s="96">
        <f t="shared" si="79"/>
        <v>8.1159036000000011</v>
      </c>
      <c r="P150" s="96">
        <f t="shared" si="79"/>
        <v>0</v>
      </c>
      <c r="Q150" s="96">
        <f t="shared" si="79"/>
        <v>0</v>
      </c>
      <c r="R150" s="96">
        <f t="shared" si="79"/>
        <v>1874298.7415580004</v>
      </c>
      <c r="S150" s="96">
        <f t="shared" si="79"/>
        <v>104578.50265995001</v>
      </c>
      <c r="T150" s="96">
        <f t="shared" si="79"/>
        <v>83430.570110100001</v>
      </c>
      <c r="U150" s="96">
        <f t="shared" si="79"/>
        <v>73206.905907600012</v>
      </c>
      <c r="V150" s="96">
        <f t="shared" si="79"/>
        <v>56011.532502300004</v>
      </c>
      <c r="X150" s="96">
        <f t="shared" si="77"/>
        <v>22152456.957758408</v>
      </c>
    </row>
    <row r="151" spans="4:26" x14ac:dyDescent="0.25">
      <c r="F151" s="254">
        <v>2008</v>
      </c>
      <c r="G151" s="96">
        <f t="shared" ref="G151:V151" si="80">G111+G131</f>
        <v>0</v>
      </c>
      <c r="H151" s="96">
        <f t="shared" si="80"/>
        <v>11899321.590457201</v>
      </c>
      <c r="I151" s="96">
        <f t="shared" si="80"/>
        <v>0</v>
      </c>
      <c r="J151" s="96">
        <f t="shared" si="80"/>
        <v>0</v>
      </c>
      <c r="K151" s="96">
        <f t="shared" si="80"/>
        <v>2133436.6017992999</v>
      </c>
      <c r="L151" s="96">
        <f t="shared" si="80"/>
        <v>6489701.3895273004</v>
      </c>
      <c r="M151" s="96">
        <f t="shared" si="80"/>
        <v>313.81905060000003</v>
      </c>
      <c r="N151" s="96">
        <f t="shared" si="80"/>
        <v>0</v>
      </c>
      <c r="O151" s="96">
        <f t="shared" si="80"/>
        <v>7.4190212999999989</v>
      </c>
      <c r="P151" s="96">
        <f t="shared" si="80"/>
        <v>0</v>
      </c>
      <c r="Q151" s="96">
        <f t="shared" si="80"/>
        <v>0</v>
      </c>
      <c r="R151" s="96">
        <f t="shared" si="80"/>
        <v>532596.63324630074</v>
      </c>
      <c r="S151" s="96">
        <f t="shared" si="80"/>
        <v>114879.87232245001</v>
      </c>
      <c r="T151" s="96">
        <f t="shared" si="80"/>
        <v>6.1671E-3</v>
      </c>
      <c r="U151" s="96">
        <f t="shared" si="80"/>
        <v>0</v>
      </c>
      <c r="V151" s="96">
        <f t="shared" si="80"/>
        <v>2131.6611985499999</v>
      </c>
      <c r="X151" s="96">
        <f t="shared" si="77"/>
        <v>21172388.992790099</v>
      </c>
    </row>
    <row r="152" spans="4:26" x14ac:dyDescent="0.25">
      <c r="F152" s="254">
        <v>2009</v>
      </c>
      <c r="G152" s="96">
        <f t="shared" ref="G152:V152" si="81">G112+G132</f>
        <v>0</v>
      </c>
      <c r="H152" s="96">
        <f t="shared" si="81"/>
        <v>11497159.590910502</v>
      </c>
      <c r="I152" s="96">
        <f t="shared" si="81"/>
        <v>0</v>
      </c>
      <c r="J152" s="96">
        <f t="shared" si="81"/>
        <v>0</v>
      </c>
      <c r="K152" s="96">
        <f t="shared" si="81"/>
        <v>1135832.89809315</v>
      </c>
      <c r="L152" s="96">
        <f t="shared" si="81"/>
        <v>6918204.707455501</v>
      </c>
      <c r="M152" s="96">
        <f t="shared" si="81"/>
        <v>694.43396129999996</v>
      </c>
      <c r="N152" s="96">
        <f t="shared" si="81"/>
        <v>0</v>
      </c>
      <c r="O152" s="96">
        <f t="shared" si="81"/>
        <v>3.5676673500000002</v>
      </c>
      <c r="P152" s="96">
        <f t="shared" si="81"/>
        <v>0</v>
      </c>
      <c r="Q152" s="96">
        <f t="shared" si="81"/>
        <v>0</v>
      </c>
      <c r="R152" s="96">
        <f t="shared" si="81"/>
        <v>487432.39134914905</v>
      </c>
      <c r="S152" s="96">
        <f t="shared" si="81"/>
        <v>121140.75849570002</v>
      </c>
      <c r="T152" s="96">
        <f t="shared" si="81"/>
        <v>0</v>
      </c>
      <c r="U152" s="96">
        <f t="shared" si="81"/>
        <v>0</v>
      </c>
      <c r="V152" s="96">
        <f t="shared" si="81"/>
        <v>1226.7749497499999</v>
      </c>
      <c r="X152" s="96">
        <f t="shared" si="77"/>
        <v>20161695.1228824</v>
      </c>
    </row>
    <row r="153" spans="4:26" x14ac:dyDescent="0.25">
      <c r="F153" s="254">
        <v>2010</v>
      </c>
      <c r="G153" s="96">
        <f t="shared" ref="G153:V153" si="82">G113+G133</f>
        <v>0</v>
      </c>
      <c r="H153" s="96">
        <f t="shared" si="82"/>
        <v>10866207.83595885</v>
      </c>
      <c r="I153" s="96">
        <f t="shared" si="82"/>
        <v>0</v>
      </c>
      <c r="J153" s="96">
        <f t="shared" si="82"/>
        <v>0</v>
      </c>
      <c r="K153" s="96">
        <f t="shared" si="82"/>
        <v>639752.93436944997</v>
      </c>
      <c r="L153" s="96">
        <f t="shared" si="82"/>
        <v>7264140.9695320511</v>
      </c>
      <c r="M153" s="96">
        <f t="shared" si="82"/>
        <v>472.49853359999997</v>
      </c>
      <c r="N153" s="96">
        <f t="shared" si="82"/>
        <v>0</v>
      </c>
      <c r="O153" s="96">
        <f t="shared" si="82"/>
        <v>65966.940189000001</v>
      </c>
      <c r="P153" s="96">
        <f t="shared" si="82"/>
        <v>0</v>
      </c>
      <c r="Q153" s="96">
        <f t="shared" si="82"/>
        <v>0</v>
      </c>
      <c r="R153" s="96">
        <f t="shared" si="82"/>
        <v>470199.78407760151</v>
      </c>
      <c r="S153" s="96">
        <f t="shared" si="82"/>
        <v>98149.051142400014</v>
      </c>
      <c r="T153" s="96">
        <f t="shared" si="82"/>
        <v>0</v>
      </c>
      <c r="U153" s="96">
        <f t="shared" si="82"/>
        <v>0</v>
      </c>
      <c r="V153" s="96">
        <f t="shared" si="82"/>
        <v>1021.7312089499999</v>
      </c>
      <c r="X153" s="96">
        <f t="shared" si="77"/>
        <v>19405911.7450119</v>
      </c>
    </row>
    <row r="154" spans="4:26" x14ac:dyDescent="0.25">
      <c r="F154" s="254">
        <v>2011</v>
      </c>
      <c r="G154" s="96">
        <f t="shared" ref="G154:V154" si="83">G114+G134</f>
        <v>0</v>
      </c>
      <c r="H154" s="96">
        <f t="shared" si="83"/>
        <v>10821224.695869897</v>
      </c>
      <c r="I154" s="96">
        <f t="shared" si="83"/>
        <v>0</v>
      </c>
      <c r="J154" s="96">
        <f t="shared" si="83"/>
        <v>0</v>
      </c>
      <c r="K154" s="96">
        <f t="shared" si="83"/>
        <v>436943.71046895807</v>
      </c>
      <c r="L154" s="96">
        <f t="shared" si="83"/>
        <v>9245811.825825654</v>
      </c>
      <c r="M154" s="96">
        <f t="shared" si="83"/>
        <v>72624.83080529602</v>
      </c>
      <c r="N154" s="96">
        <f t="shared" si="83"/>
        <v>0</v>
      </c>
      <c r="O154" s="96">
        <f t="shared" si="83"/>
        <v>386043.95310096006</v>
      </c>
      <c r="P154" s="96">
        <f t="shared" si="83"/>
        <v>0</v>
      </c>
      <c r="Q154" s="96">
        <f t="shared" si="83"/>
        <v>0</v>
      </c>
      <c r="R154" s="96">
        <f t="shared" si="83"/>
        <v>430232.61333390774</v>
      </c>
      <c r="S154" s="96">
        <f t="shared" si="83"/>
        <v>118094.93335794001</v>
      </c>
      <c r="T154" s="96">
        <f t="shared" si="83"/>
        <v>0</v>
      </c>
      <c r="U154" s="96">
        <f t="shared" si="83"/>
        <v>0</v>
      </c>
      <c r="V154" s="96">
        <f t="shared" si="83"/>
        <v>19.795991600000001</v>
      </c>
      <c r="X154" s="96">
        <f t="shared" si="77"/>
        <v>21510996.35875421</v>
      </c>
    </row>
    <row r="155" spans="4:26" x14ac:dyDescent="0.25">
      <c r="F155" s="254">
        <v>2012</v>
      </c>
      <c r="G155" s="96">
        <f t="shared" ref="G155:V155" si="84">G115+G135</f>
        <v>0</v>
      </c>
      <c r="H155" s="96">
        <f t="shared" si="84"/>
        <v>10599998.607924035</v>
      </c>
      <c r="I155" s="96">
        <f t="shared" si="84"/>
        <v>0</v>
      </c>
      <c r="J155" s="96">
        <f t="shared" si="84"/>
        <v>0</v>
      </c>
      <c r="K155" s="96">
        <f t="shared" si="84"/>
        <v>419509.34573160193</v>
      </c>
      <c r="L155" s="96">
        <f t="shared" si="84"/>
        <v>10696600.979816463</v>
      </c>
      <c r="M155" s="96">
        <f t="shared" si="84"/>
        <v>51179.585555315622</v>
      </c>
      <c r="N155" s="96">
        <f t="shared" si="84"/>
        <v>0</v>
      </c>
      <c r="O155" s="96">
        <f t="shared" si="84"/>
        <v>17160.245259157029</v>
      </c>
      <c r="P155" s="96">
        <f t="shared" si="84"/>
        <v>0</v>
      </c>
      <c r="Q155" s="96">
        <f t="shared" si="84"/>
        <v>0</v>
      </c>
      <c r="R155" s="96">
        <f t="shared" si="84"/>
        <v>397525.271436941</v>
      </c>
      <c r="S155" s="96">
        <f t="shared" si="84"/>
        <v>12410.877888406936</v>
      </c>
      <c r="T155" s="96">
        <f t="shared" si="84"/>
        <v>0</v>
      </c>
      <c r="U155" s="96">
        <f t="shared" si="84"/>
        <v>0</v>
      </c>
      <c r="V155" s="96">
        <f t="shared" si="84"/>
        <v>0</v>
      </c>
      <c r="X155" s="96">
        <f t="shared" si="77"/>
        <v>22194384.913611919</v>
      </c>
    </row>
    <row r="156" spans="4:26" x14ac:dyDescent="0.25">
      <c r="F156" s="254">
        <v>2013</v>
      </c>
      <c r="G156" s="96">
        <f t="shared" ref="G156:V156" si="85">G116+G136</f>
        <v>2744067.4364801864</v>
      </c>
      <c r="H156" s="96">
        <f t="shared" si="85"/>
        <v>9062846.8484853357</v>
      </c>
      <c r="I156" s="96">
        <f t="shared" si="85"/>
        <v>0</v>
      </c>
      <c r="J156" s="96">
        <f t="shared" si="85"/>
        <v>0</v>
      </c>
      <c r="K156" s="96">
        <f t="shared" si="85"/>
        <v>474635.53344742302</v>
      </c>
      <c r="L156" s="96">
        <f t="shared" si="85"/>
        <v>12649420.610983815</v>
      </c>
      <c r="M156" s="96">
        <f t="shared" si="85"/>
        <v>84747.685432262806</v>
      </c>
      <c r="N156" s="96">
        <f t="shared" si="85"/>
        <v>0</v>
      </c>
      <c r="O156" s="96">
        <f t="shared" si="85"/>
        <v>29.579128196365563</v>
      </c>
      <c r="P156" s="96">
        <f t="shared" si="85"/>
        <v>0</v>
      </c>
      <c r="Q156" s="96">
        <f t="shared" si="85"/>
        <v>0</v>
      </c>
      <c r="R156" s="96">
        <f t="shared" si="85"/>
        <v>337046.46232369938</v>
      </c>
      <c r="S156" s="96">
        <f t="shared" si="85"/>
        <v>55.291775959337052</v>
      </c>
      <c r="T156" s="96">
        <f t="shared" si="85"/>
        <v>0</v>
      </c>
      <c r="U156" s="96">
        <f t="shared" si="85"/>
        <v>0</v>
      </c>
      <c r="V156" s="96">
        <f t="shared" si="85"/>
        <v>0</v>
      </c>
      <c r="X156" s="96">
        <f t="shared" si="77"/>
        <v>25352849.448056877</v>
      </c>
    </row>
    <row r="157" spans="4:26" x14ac:dyDescent="0.25">
      <c r="F157" s="254">
        <v>2014</v>
      </c>
      <c r="G157" s="96">
        <f t="shared" ref="G157:V157" si="86">G117+G137</f>
        <v>4063616.1929400875</v>
      </c>
      <c r="H157" s="96">
        <f t="shared" si="86"/>
        <v>9056705.4148595743</v>
      </c>
      <c r="I157" s="96">
        <f t="shared" si="86"/>
        <v>0</v>
      </c>
      <c r="J157" s="96">
        <f t="shared" si="86"/>
        <v>325365.60855183948</v>
      </c>
      <c r="K157" s="96">
        <f t="shared" si="86"/>
        <v>1095127.2986678844</v>
      </c>
      <c r="L157" s="96">
        <f t="shared" si="86"/>
        <v>16149469.150048921</v>
      </c>
      <c r="M157" s="96">
        <f t="shared" si="86"/>
        <v>25825.065083914698</v>
      </c>
      <c r="N157" s="96">
        <f t="shared" si="86"/>
        <v>0</v>
      </c>
      <c r="O157" s="96">
        <f t="shared" si="86"/>
        <v>0</v>
      </c>
      <c r="P157" s="96">
        <f t="shared" si="86"/>
        <v>0</v>
      </c>
      <c r="Q157" s="96">
        <f t="shared" si="86"/>
        <v>0</v>
      </c>
      <c r="R157" s="96">
        <f t="shared" si="86"/>
        <v>0</v>
      </c>
      <c r="S157" s="96">
        <f t="shared" si="86"/>
        <v>0</v>
      </c>
      <c r="T157" s="96">
        <f t="shared" si="86"/>
        <v>0</v>
      </c>
      <c r="U157" s="96">
        <f t="shared" si="86"/>
        <v>0</v>
      </c>
      <c r="V157" s="96">
        <f t="shared" si="86"/>
        <v>0</v>
      </c>
      <c r="X157" s="96">
        <f t="shared" si="77"/>
        <v>30716108.73015222</v>
      </c>
    </row>
    <row r="158" spans="4:26" x14ac:dyDescent="0.25">
      <c r="F158" s="254">
        <v>2015</v>
      </c>
      <c r="G158" s="96">
        <f t="shared" ref="G158:V158" si="87">G118+G138</f>
        <v>4675471.1401619371</v>
      </c>
      <c r="H158" s="96">
        <f t="shared" si="87"/>
        <v>9603780.9963322468</v>
      </c>
      <c r="I158" s="96">
        <f t="shared" si="87"/>
        <v>0</v>
      </c>
      <c r="J158" s="96">
        <f t="shared" si="87"/>
        <v>315193.06898073695</v>
      </c>
      <c r="K158" s="96">
        <f t="shared" si="87"/>
        <v>1033600.1626116572</v>
      </c>
      <c r="L158" s="96">
        <f t="shared" si="87"/>
        <v>17327382.048343338</v>
      </c>
      <c r="M158" s="96">
        <f t="shared" si="87"/>
        <v>139478.0367377323</v>
      </c>
      <c r="N158" s="96">
        <f t="shared" si="87"/>
        <v>0</v>
      </c>
      <c r="O158" s="96">
        <f t="shared" si="87"/>
        <v>55659.331653473273</v>
      </c>
      <c r="P158" s="96">
        <f t="shared" si="87"/>
        <v>0</v>
      </c>
      <c r="Q158" s="96">
        <f t="shared" si="87"/>
        <v>0</v>
      </c>
      <c r="R158" s="96">
        <f t="shared" si="87"/>
        <v>0</v>
      </c>
      <c r="S158" s="96">
        <f t="shared" si="87"/>
        <v>0</v>
      </c>
      <c r="T158" s="96">
        <f t="shared" si="87"/>
        <v>0</v>
      </c>
      <c r="U158" s="96">
        <f t="shared" si="87"/>
        <v>0</v>
      </c>
      <c r="V158" s="96">
        <f t="shared" si="87"/>
        <v>0</v>
      </c>
      <c r="X158" s="96">
        <f t="shared" si="77"/>
        <v>33150564.784821119</v>
      </c>
    </row>
    <row r="159" spans="4:26" x14ac:dyDescent="0.25">
      <c r="F159" s="254">
        <v>2016</v>
      </c>
      <c r="G159" s="96">
        <f t="shared" ref="G159:V159" si="88">G119+G139</f>
        <v>5122068.7294625472</v>
      </c>
      <c r="H159" s="96">
        <f t="shared" si="88"/>
        <v>10200360.056585303</v>
      </c>
      <c r="I159" s="96">
        <f t="shared" si="88"/>
        <v>0</v>
      </c>
      <c r="J159" s="96">
        <f t="shared" si="88"/>
        <v>332554.76575117651</v>
      </c>
      <c r="K159" s="96">
        <f t="shared" si="88"/>
        <v>1211526.0903183615</v>
      </c>
      <c r="L159" s="96">
        <f t="shared" si="88"/>
        <v>18689688.043632187</v>
      </c>
      <c r="M159" s="96">
        <f t="shared" si="88"/>
        <v>594143.18735145731</v>
      </c>
      <c r="N159" s="96">
        <f t="shared" si="88"/>
        <v>0</v>
      </c>
      <c r="O159" s="96">
        <f t="shared" si="88"/>
        <v>256080.24847438064</v>
      </c>
      <c r="P159" s="96">
        <f t="shared" si="88"/>
        <v>0</v>
      </c>
      <c r="Q159" s="96">
        <f t="shared" si="88"/>
        <v>0</v>
      </c>
      <c r="R159" s="96">
        <f t="shared" si="88"/>
        <v>0</v>
      </c>
      <c r="S159" s="96">
        <f t="shared" si="88"/>
        <v>0</v>
      </c>
      <c r="T159" s="96">
        <f t="shared" si="88"/>
        <v>0</v>
      </c>
      <c r="U159" s="96">
        <f t="shared" si="88"/>
        <v>0</v>
      </c>
      <c r="V159" s="96">
        <f t="shared" si="88"/>
        <v>0</v>
      </c>
      <c r="X159" s="96">
        <f t="shared" si="77"/>
        <v>36406421.121575415</v>
      </c>
    </row>
    <row r="160" spans="4:26" x14ac:dyDescent="0.25">
      <c r="F160" s="254">
        <v>2017</v>
      </c>
      <c r="G160" s="96">
        <f t="shared" ref="G160:V160" si="89">G120+G140</f>
        <v>4347536.4893653663</v>
      </c>
      <c r="H160" s="96">
        <f t="shared" si="89"/>
        <v>8855938.6332557946</v>
      </c>
      <c r="I160" s="96">
        <f t="shared" si="89"/>
        <v>0</v>
      </c>
      <c r="J160" s="96">
        <f t="shared" si="89"/>
        <v>318383.45302208781</v>
      </c>
      <c r="K160" s="96">
        <f t="shared" si="89"/>
        <v>989289.14329763828</v>
      </c>
      <c r="L160" s="96">
        <f t="shared" si="89"/>
        <v>20293243.081137888</v>
      </c>
      <c r="M160" s="96">
        <f t="shared" si="89"/>
        <v>582957.48591855075</v>
      </c>
      <c r="N160" s="96">
        <f t="shared" si="89"/>
        <v>105610.14910565385</v>
      </c>
      <c r="O160" s="96">
        <f t="shared" si="89"/>
        <v>396444.11320647004</v>
      </c>
      <c r="P160" s="96">
        <f t="shared" si="89"/>
        <v>0</v>
      </c>
      <c r="Q160" s="96">
        <f t="shared" si="89"/>
        <v>0</v>
      </c>
      <c r="R160" s="96">
        <f t="shared" si="89"/>
        <v>0</v>
      </c>
      <c r="S160" s="96">
        <f t="shared" si="89"/>
        <v>0</v>
      </c>
      <c r="T160" s="96">
        <f t="shared" si="89"/>
        <v>0</v>
      </c>
      <c r="U160" s="96">
        <f t="shared" si="89"/>
        <v>0</v>
      </c>
      <c r="V160" s="96">
        <f t="shared" si="89"/>
        <v>0</v>
      </c>
      <c r="X160" s="96">
        <f t="shared" si="77"/>
        <v>35889402.548309445</v>
      </c>
    </row>
    <row r="161" spans="4:26" x14ac:dyDescent="0.25">
      <c r="F161" s="254">
        <v>2018</v>
      </c>
      <c r="G161" s="96">
        <f t="shared" ref="G161:V161" si="90">G121+G141</f>
        <v>4538372.2940970724</v>
      </c>
      <c r="H161" s="96">
        <f t="shared" si="90"/>
        <v>8740293.2080141958</v>
      </c>
      <c r="I161" s="96">
        <f t="shared" si="90"/>
        <v>1.5434865407216006E-2</v>
      </c>
      <c r="J161" s="96">
        <f t="shared" si="90"/>
        <v>293087.70462582901</v>
      </c>
      <c r="K161" s="96">
        <f t="shared" si="90"/>
        <v>550833.68857819703</v>
      </c>
      <c r="L161" s="96">
        <f t="shared" si="90"/>
        <v>20055891.652526565</v>
      </c>
      <c r="M161" s="96">
        <f t="shared" si="90"/>
        <v>454194.22897152847</v>
      </c>
      <c r="N161" s="96">
        <f t="shared" si="90"/>
        <v>959806.59034566861</v>
      </c>
      <c r="O161" s="96">
        <f t="shared" si="90"/>
        <v>240491.7183504111</v>
      </c>
      <c r="P161" s="96">
        <f t="shared" si="90"/>
        <v>116361.52094682556</v>
      </c>
      <c r="Q161" s="96">
        <f t="shared" si="90"/>
        <v>72366.36646173225</v>
      </c>
      <c r="R161" s="96">
        <f t="shared" si="90"/>
        <v>0</v>
      </c>
      <c r="S161" s="96">
        <f t="shared" si="90"/>
        <v>0</v>
      </c>
      <c r="T161" s="96">
        <f t="shared" si="90"/>
        <v>0</v>
      </c>
      <c r="U161" s="96">
        <f t="shared" si="90"/>
        <v>0</v>
      </c>
      <c r="V161" s="96">
        <f t="shared" si="90"/>
        <v>0</v>
      </c>
      <c r="X161" s="96">
        <f t="shared" si="77"/>
        <v>36021698.98835288</v>
      </c>
    </row>
    <row r="162" spans="4:26" x14ac:dyDescent="0.25">
      <c r="F162" s="254">
        <v>2019</v>
      </c>
      <c r="G162" s="96">
        <f t="shared" ref="G162:V162" si="91">G122+G142</f>
        <v>4520213.689150298</v>
      </c>
      <c r="H162" s="96">
        <f t="shared" si="91"/>
        <v>7990775.3409381844</v>
      </c>
      <c r="I162" s="96">
        <f t="shared" si="91"/>
        <v>20570.979980581782</v>
      </c>
      <c r="J162" s="96">
        <f t="shared" si="91"/>
        <v>276708.12578958855</v>
      </c>
      <c r="K162" s="96">
        <f t="shared" si="91"/>
        <v>397732.93024897261</v>
      </c>
      <c r="L162" s="96">
        <f t="shared" si="91"/>
        <v>16812908.191532485</v>
      </c>
      <c r="M162" s="96">
        <f t="shared" si="91"/>
        <v>147797.13334215907</v>
      </c>
      <c r="N162" s="96">
        <f t="shared" si="91"/>
        <v>1034157.1383187495</v>
      </c>
      <c r="O162" s="96">
        <f t="shared" si="91"/>
        <v>98220.401009399851</v>
      </c>
      <c r="P162" s="96">
        <f t="shared" si="91"/>
        <v>194066.04883829254</v>
      </c>
      <c r="Q162" s="96">
        <f t="shared" si="91"/>
        <v>0</v>
      </c>
      <c r="R162" s="96">
        <f t="shared" si="91"/>
        <v>0</v>
      </c>
      <c r="S162" s="96">
        <f t="shared" si="91"/>
        <v>0</v>
      </c>
      <c r="T162" s="96">
        <f t="shared" si="91"/>
        <v>0</v>
      </c>
      <c r="U162" s="96">
        <f t="shared" si="91"/>
        <v>0</v>
      </c>
      <c r="V162" s="96">
        <f t="shared" si="91"/>
        <v>0</v>
      </c>
      <c r="X162" s="96">
        <f t="shared" si="77"/>
        <v>31493149.979148708</v>
      </c>
    </row>
    <row r="163" spans="4:26" x14ac:dyDescent="0.25">
      <c r="F163" s="254">
        <v>2020</v>
      </c>
      <c r="G163" s="96">
        <f t="shared" ref="G163:V163" si="92">G123+G143</f>
        <v>2055143.1655576024</v>
      </c>
      <c r="H163" s="96">
        <f t="shared" si="92"/>
        <v>3629173.2372646085</v>
      </c>
      <c r="I163" s="96">
        <f t="shared" si="92"/>
        <v>6.3877351254136103</v>
      </c>
      <c r="J163" s="96">
        <f t="shared" si="92"/>
        <v>129985.81669388557</v>
      </c>
      <c r="K163" s="96">
        <f t="shared" si="92"/>
        <v>190677.99177732575</v>
      </c>
      <c r="L163" s="96">
        <f t="shared" si="92"/>
        <v>8966987.7768623158</v>
      </c>
      <c r="M163" s="96">
        <f t="shared" si="92"/>
        <v>209885.2057601311</v>
      </c>
      <c r="N163" s="96">
        <f t="shared" si="92"/>
        <v>478527.92441151332</v>
      </c>
      <c r="O163" s="96">
        <f t="shared" si="92"/>
        <v>42853.882569538953</v>
      </c>
      <c r="P163" s="96">
        <f t="shared" si="92"/>
        <v>94387.664908942475</v>
      </c>
      <c r="Q163" s="96">
        <f t="shared" si="92"/>
        <v>0</v>
      </c>
      <c r="R163" s="96">
        <f t="shared" si="92"/>
        <v>0</v>
      </c>
      <c r="S163" s="96">
        <f t="shared" si="92"/>
        <v>0</v>
      </c>
      <c r="T163" s="96">
        <f t="shared" si="92"/>
        <v>0</v>
      </c>
      <c r="U163" s="96">
        <f t="shared" si="92"/>
        <v>0</v>
      </c>
      <c r="V163" s="96">
        <f t="shared" si="92"/>
        <v>0</v>
      </c>
      <c r="X163" s="96">
        <f t="shared" si="77"/>
        <v>15797629.053540988</v>
      </c>
    </row>
    <row r="164" spans="4:26" x14ac:dyDescent="0.25">
      <c r="F164" s="254">
        <v>2021</v>
      </c>
      <c r="G164" s="96">
        <f t="shared" ref="G164:V164" si="93">G124+G144</f>
        <v>855279.97028980567</v>
      </c>
      <c r="H164" s="96">
        <f t="shared" si="93"/>
        <v>246523.94489620705</v>
      </c>
      <c r="I164" s="96">
        <f t="shared" si="93"/>
        <v>0.47321198640578327</v>
      </c>
      <c r="J164" s="96">
        <f t="shared" si="93"/>
        <v>1802.2001949804669</v>
      </c>
      <c r="K164" s="96">
        <f t="shared" si="93"/>
        <v>0</v>
      </c>
      <c r="L164" s="96">
        <f t="shared" si="93"/>
        <v>3456778.4723327355</v>
      </c>
      <c r="M164" s="96">
        <f t="shared" si="93"/>
        <v>414.05434249484733</v>
      </c>
      <c r="N164" s="96">
        <f t="shared" si="93"/>
        <v>55555.886133366657</v>
      </c>
      <c r="O164" s="96">
        <f t="shared" si="93"/>
        <v>0</v>
      </c>
      <c r="P164" s="96">
        <f t="shared" si="93"/>
        <v>17304.501957429664</v>
      </c>
      <c r="Q164" s="96">
        <f t="shared" si="93"/>
        <v>0</v>
      </c>
      <c r="R164" s="96">
        <f t="shared" si="93"/>
        <v>0</v>
      </c>
      <c r="S164" s="96">
        <f t="shared" si="93"/>
        <v>0</v>
      </c>
      <c r="T164" s="96">
        <f t="shared" si="93"/>
        <v>0</v>
      </c>
      <c r="U164" s="96">
        <f t="shared" si="93"/>
        <v>0</v>
      </c>
      <c r="V164" s="96">
        <f t="shared" si="93"/>
        <v>0</v>
      </c>
      <c r="X164" s="96">
        <f t="shared" si="77"/>
        <v>4633659.5033590058</v>
      </c>
    </row>
    <row r="165" spans="4:26" x14ac:dyDescent="0.25">
      <c r="G165" s="199">
        <f t="shared" ref="G165:V165" si="94">SUM(G148:G164)</f>
        <v>32921769.107504904</v>
      </c>
      <c r="H165" s="199">
        <f t="shared" si="94"/>
        <v>150098767.97576067</v>
      </c>
      <c r="I165" s="199">
        <f t="shared" si="94"/>
        <v>20577.856362559007</v>
      </c>
      <c r="J165" s="199">
        <f t="shared" si="94"/>
        <v>1993080.7436101246</v>
      </c>
      <c r="K165" s="199">
        <f t="shared" si="94"/>
        <v>17076187.865627624</v>
      </c>
      <c r="L165" s="199">
        <f t="shared" si="94"/>
        <v>192678060.13317174</v>
      </c>
      <c r="M165" s="199">
        <f t="shared" si="94"/>
        <v>2418315.991860393</v>
      </c>
      <c r="N165" s="199">
        <f t="shared" si="94"/>
        <v>2633657.688314952</v>
      </c>
      <c r="O165" s="199">
        <f t="shared" si="94"/>
        <v>1559883.6246800872</v>
      </c>
      <c r="P165" s="199">
        <f t="shared" si="94"/>
        <v>422119.73665149027</v>
      </c>
      <c r="Q165" s="199">
        <f t="shared" si="94"/>
        <v>72366.36646173225</v>
      </c>
      <c r="R165" s="199">
        <f t="shared" si="94"/>
        <v>12085185.31229635</v>
      </c>
      <c r="S165" s="199">
        <f t="shared" si="94"/>
        <v>723161.61804465635</v>
      </c>
      <c r="T165" s="199">
        <f t="shared" si="94"/>
        <v>369182.73541440006</v>
      </c>
      <c r="U165" s="199">
        <f t="shared" si="94"/>
        <v>439171.44194415002</v>
      </c>
      <c r="V165" s="199">
        <f t="shared" si="94"/>
        <v>438894.3938279</v>
      </c>
      <c r="X165" s="199">
        <f>SUM(X148:X164)</f>
        <v>415950382.59153372</v>
      </c>
      <c r="Y165" s="96">
        <f>SUM(G165:V165)-X165</f>
        <v>0</v>
      </c>
      <c r="Z165" s="96" t="s">
        <v>223</v>
      </c>
    </row>
    <row r="166" spans="4:26" ht="15.75" thickBot="1" x14ac:dyDescent="0.3">
      <c r="D166" s="196" t="s">
        <v>225</v>
      </c>
      <c r="F166" s="245" t="s">
        <v>224</v>
      </c>
      <c r="G166" s="235">
        <f t="shared" ref="G166:V166" si="95">SUM(G155:G164)</f>
        <v>32921769.107504904</v>
      </c>
      <c r="H166" s="198">
        <f t="shared" si="95"/>
        <v>77986396.288555488</v>
      </c>
      <c r="I166" s="238">
        <f t="shared" si="95"/>
        <v>20577.856362559007</v>
      </c>
      <c r="J166" s="198">
        <f t="shared" si="95"/>
        <v>1993080.7436101246</v>
      </c>
      <c r="K166" s="234">
        <f t="shared" si="95"/>
        <v>6362932.1846790621</v>
      </c>
      <c r="L166" s="236">
        <f t="shared" si="95"/>
        <v>145098370.00721672</v>
      </c>
      <c r="M166" s="242">
        <f t="shared" si="95"/>
        <v>2290621.668495547</v>
      </c>
      <c r="N166" s="237">
        <f t="shared" si="95"/>
        <v>2633657.688314952</v>
      </c>
      <c r="O166" s="238">
        <f t="shared" si="95"/>
        <v>1106939.5196510272</v>
      </c>
      <c r="P166" s="239">
        <f t="shared" si="95"/>
        <v>422119.73665149027</v>
      </c>
      <c r="Q166" s="239">
        <f t="shared" si="95"/>
        <v>72366.36646173225</v>
      </c>
      <c r="R166" s="198">
        <f t="shared" si="95"/>
        <v>734571.73376064037</v>
      </c>
      <c r="S166" s="239">
        <f t="shared" si="95"/>
        <v>12466.169664366273</v>
      </c>
      <c r="T166" s="243">
        <f t="shared" si="95"/>
        <v>0</v>
      </c>
      <c r="U166" s="243">
        <f t="shared" si="95"/>
        <v>0</v>
      </c>
      <c r="V166" s="243">
        <f t="shared" si="95"/>
        <v>0</v>
      </c>
      <c r="W166" s="244"/>
      <c r="X166" s="243">
        <f>SUM(G166:V166)</f>
        <v>271655869.07092869</v>
      </c>
      <c r="Y166" s="96">
        <f>SUM(G155:V164)-X166</f>
        <v>0</v>
      </c>
      <c r="Z166" s="96" t="s">
        <v>223</v>
      </c>
    </row>
    <row r="167" spans="4:26" x14ac:dyDescent="0.25">
      <c r="G167" s="197"/>
    </row>
    <row r="168" spans="4:26" x14ac:dyDescent="0.25">
      <c r="G168" s="197"/>
      <c r="X168" s="96">
        <f>X166-L44</f>
        <v>0</v>
      </c>
    </row>
    <row r="169" spans="4:26" x14ac:dyDescent="0.25">
      <c r="G169" s="197"/>
      <c r="X169" s="196" t="s">
        <v>222</v>
      </c>
    </row>
    <row r="170" spans="4:26" x14ac:dyDescent="0.25">
      <c r="G170" s="197"/>
    </row>
    <row r="171" spans="4:26" x14ac:dyDescent="0.25">
      <c r="G171" s="197"/>
    </row>
    <row r="172" spans="4:26" x14ac:dyDescent="0.25">
      <c r="G172" s="197"/>
    </row>
  </sheetData>
  <mergeCells count="7">
    <mergeCell ref="B75:B82"/>
    <mergeCell ref="B2:C2"/>
    <mergeCell ref="M13:R13"/>
    <mergeCell ref="M14:R14"/>
    <mergeCell ref="M15:R15"/>
    <mergeCell ref="B24:C24"/>
    <mergeCell ref="B66:B74"/>
  </mergeCells>
  <pageMargins left="0.70866141732283472" right="0.70866141732283472" top="0.74803149606299213" bottom="0.74803149606299213" header="0.31496062992125984" footer="0.31496062992125984"/>
  <pageSetup paperSize="8"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opLeftCell="A4" zoomScale="87" zoomScaleNormal="87" workbookViewId="0">
      <selection activeCell="L63" sqref="L63"/>
    </sheetView>
  </sheetViews>
  <sheetFormatPr defaultColWidth="9.140625" defaultRowHeight="15" x14ac:dyDescent="0.25"/>
  <cols>
    <col min="1" max="1" width="72.42578125" style="149" customWidth="1"/>
    <col min="2" max="2" width="11" style="149" customWidth="1"/>
    <col min="3" max="3" width="16.7109375" style="149" bestFit="1" customWidth="1"/>
    <col min="4" max="4" width="178" style="149" bestFit="1" customWidth="1"/>
    <col min="5" max="5" width="33.5703125" style="149" customWidth="1"/>
    <col min="6" max="6" width="43" style="149" bestFit="1" customWidth="1"/>
    <col min="7" max="16384" width="9.140625" style="149"/>
  </cols>
  <sheetData>
    <row r="1" spans="1:6" ht="15.75" thickTop="1" x14ac:dyDescent="0.25">
      <c r="A1" s="177" t="s">
        <v>219</v>
      </c>
      <c r="B1" s="178"/>
      <c r="C1" s="178"/>
      <c r="D1" s="176"/>
      <c r="E1" s="176"/>
      <c r="F1" s="175"/>
    </row>
    <row r="2" spans="1:6" x14ac:dyDescent="0.25">
      <c r="A2" s="174"/>
      <c r="B2" s="173"/>
      <c r="C2" s="173"/>
      <c r="D2" s="173"/>
      <c r="E2" s="173"/>
      <c r="F2" s="172"/>
    </row>
    <row r="3" spans="1:6" ht="15.75" thickBot="1" x14ac:dyDescent="0.3">
      <c r="A3" s="171" t="s">
        <v>218</v>
      </c>
      <c r="B3" s="170"/>
      <c r="C3" s="170"/>
      <c r="D3" s="170" t="s">
        <v>217</v>
      </c>
      <c r="E3" s="170" t="s">
        <v>216</v>
      </c>
      <c r="F3" s="169" t="s">
        <v>215</v>
      </c>
    </row>
    <row r="4" spans="1:6" ht="15.75" thickTop="1" x14ac:dyDescent="0.25">
      <c r="A4" s="168"/>
      <c r="B4" s="180" t="s">
        <v>221</v>
      </c>
      <c r="C4" s="167"/>
      <c r="D4" s="167"/>
      <c r="E4" s="167"/>
      <c r="F4" s="166"/>
    </row>
    <row r="5" spans="1:6" x14ac:dyDescent="0.25">
      <c r="A5" s="161" t="s">
        <v>214</v>
      </c>
      <c r="B5" s="179" t="s">
        <v>220</v>
      </c>
      <c r="C5" s="187">
        <f>+Summary!H64+Summary!R64</f>
        <v>58852126.020271994</v>
      </c>
      <c r="D5" s="160" t="s">
        <v>213</v>
      </c>
      <c r="E5" s="54" t="s">
        <v>212</v>
      </c>
      <c r="F5" s="165" t="s">
        <v>201</v>
      </c>
    </row>
    <row r="6" spans="1:6" x14ac:dyDescent="0.25">
      <c r="A6" s="162"/>
      <c r="B6" s="180" t="s">
        <v>221</v>
      </c>
      <c r="C6" s="188">
        <f>Summary!J64</f>
        <v>1737549.348184</v>
      </c>
      <c r="D6" s="160" t="s">
        <v>211</v>
      </c>
      <c r="E6" s="54"/>
      <c r="F6" s="156"/>
    </row>
    <row r="7" spans="1:6" x14ac:dyDescent="0.25">
      <c r="A7" s="161"/>
      <c r="B7" s="179"/>
      <c r="C7" s="189"/>
      <c r="D7" s="164" t="s">
        <v>194</v>
      </c>
      <c r="E7" s="54"/>
      <c r="F7" s="156"/>
    </row>
    <row r="8" spans="1:6" x14ac:dyDescent="0.25">
      <c r="A8" s="161"/>
      <c r="B8" s="179"/>
      <c r="C8" s="189"/>
      <c r="D8" s="164"/>
      <c r="E8" s="54"/>
      <c r="F8" s="156"/>
    </row>
    <row r="9" spans="1:6" x14ac:dyDescent="0.25">
      <c r="A9" s="161" t="s">
        <v>210</v>
      </c>
      <c r="B9" s="179"/>
      <c r="C9" s="190">
        <f>+Summary!K64</f>
        <v>5063894.3163639996</v>
      </c>
      <c r="D9" s="160" t="s">
        <v>209</v>
      </c>
      <c r="E9" s="54" t="s">
        <v>208</v>
      </c>
      <c r="F9" s="163" t="s">
        <v>207</v>
      </c>
    </row>
    <row r="10" spans="1:6" x14ac:dyDescent="0.25">
      <c r="A10" s="162"/>
      <c r="B10" s="180"/>
      <c r="C10" s="191"/>
      <c r="D10" s="160" t="s">
        <v>206</v>
      </c>
      <c r="E10" s="54"/>
      <c r="F10" s="156"/>
    </row>
    <row r="11" spans="1:6" x14ac:dyDescent="0.25">
      <c r="A11" s="162"/>
      <c r="B11" s="180"/>
      <c r="C11" s="191"/>
      <c r="D11" s="164" t="s">
        <v>205</v>
      </c>
      <c r="E11" s="54"/>
      <c r="F11" s="156"/>
    </row>
    <row r="12" spans="1:6" x14ac:dyDescent="0.25">
      <c r="A12" s="162"/>
      <c r="B12" s="180"/>
      <c r="C12" s="191"/>
      <c r="D12" s="54"/>
      <c r="E12" s="54"/>
      <c r="F12" s="156"/>
    </row>
    <row r="13" spans="1:6" x14ac:dyDescent="0.25">
      <c r="A13" s="161" t="s">
        <v>204</v>
      </c>
      <c r="B13" s="179"/>
      <c r="C13" s="192">
        <f>+Summary!L64</f>
        <v>118089342.27882996</v>
      </c>
      <c r="D13" s="164" t="s">
        <v>203</v>
      </c>
      <c r="E13" s="54" t="s">
        <v>202</v>
      </c>
      <c r="F13" s="156" t="s">
        <v>201</v>
      </c>
    </row>
    <row r="14" spans="1:6" x14ac:dyDescent="0.25">
      <c r="A14" s="162"/>
      <c r="B14" s="180"/>
      <c r="C14" s="191"/>
      <c r="D14" s="164" t="s">
        <v>200</v>
      </c>
      <c r="E14" s="54"/>
      <c r="F14" s="156"/>
    </row>
    <row r="15" spans="1:6" x14ac:dyDescent="0.25">
      <c r="A15" s="162"/>
      <c r="B15" s="180"/>
      <c r="C15" s="191"/>
      <c r="D15" s="164" t="s">
        <v>199</v>
      </c>
      <c r="E15" s="54"/>
      <c r="F15" s="156"/>
    </row>
    <row r="16" spans="1:6" x14ac:dyDescent="0.25">
      <c r="A16" s="161"/>
      <c r="B16" s="179"/>
      <c r="C16" s="189"/>
      <c r="D16" s="54"/>
      <c r="E16" s="54"/>
      <c r="F16" s="156"/>
    </row>
    <row r="17" spans="1:6" x14ac:dyDescent="0.25">
      <c r="A17" s="161" t="s">
        <v>198</v>
      </c>
      <c r="B17" s="179"/>
      <c r="C17" s="193">
        <f>+Summary!N64</f>
        <v>2502486.2645119997</v>
      </c>
      <c r="D17" s="160" t="s">
        <v>197</v>
      </c>
      <c r="E17" s="54" t="s">
        <v>196</v>
      </c>
      <c r="F17" s="156" t="s">
        <v>195</v>
      </c>
    </row>
    <row r="18" spans="1:6" x14ac:dyDescent="0.25">
      <c r="A18" s="161"/>
      <c r="B18" s="179"/>
      <c r="C18" s="189"/>
      <c r="D18" s="164" t="s">
        <v>194</v>
      </c>
      <c r="E18" s="54"/>
      <c r="F18" s="156"/>
    </row>
    <row r="19" spans="1:6" x14ac:dyDescent="0.25">
      <c r="A19" s="162"/>
      <c r="B19" s="180"/>
      <c r="C19" s="191"/>
      <c r="D19" s="160" t="s">
        <v>193</v>
      </c>
      <c r="E19" s="54"/>
      <c r="F19" s="156"/>
    </row>
    <row r="20" spans="1:6" x14ac:dyDescent="0.25">
      <c r="A20" s="162"/>
      <c r="B20" s="180"/>
      <c r="C20" s="191"/>
      <c r="D20" s="160"/>
      <c r="E20" s="54"/>
      <c r="F20" s="156"/>
    </row>
    <row r="21" spans="1:6" x14ac:dyDescent="0.25">
      <c r="A21" s="161" t="s">
        <v>192</v>
      </c>
      <c r="B21" s="179"/>
      <c r="C21" s="189">
        <f>Summary!M64</f>
        <v>1944067.250242</v>
      </c>
      <c r="D21" s="160" t="s">
        <v>191</v>
      </c>
      <c r="E21" s="54" t="s">
        <v>190</v>
      </c>
      <c r="F21" s="156" t="s">
        <v>189</v>
      </c>
    </row>
    <row r="22" spans="1:6" x14ac:dyDescent="0.25">
      <c r="A22" s="162"/>
      <c r="B22" s="180"/>
      <c r="C22" s="191"/>
      <c r="D22" s="160" t="s">
        <v>188</v>
      </c>
      <c r="E22" s="54"/>
      <c r="F22" s="156"/>
    </row>
    <row r="23" spans="1:6" x14ac:dyDescent="0.25">
      <c r="A23" s="162"/>
      <c r="B23" s="180"/>
      <c r="C23" s="191"/>
      <c r="D23" s="54"/>
      <c r="E23" s="54"/>
      <c r="F23" s="156"/>
    </row>
    <row r="24" spans="1:6" x14ac:dyDescent="0.25">
      <c r="A24" s="161" t="s">
        <v>187</v>
      </c>
      <c r="B24" s="179"/>
      <c r="C24" s="194">
        <f>+Summary!O64+Summary!I64</f>
        <v>934183.03014399996</v>
      </c>
      <c r="D24" s="160" t="s">
        <v>186</v>
      </c>
      <c r="E24" s="54" t="s">
        <v>185</v>
      </c>
      <c r="F24" s="149" t="s">
        <v>184</v>
      </c>
    </row>
    <row r="25" spans="1:6" x14ac:dyDescent="0.25">
      <c r="A25" s="162"/>
      <c r="B25" s="180"/>
      <c r="C25" s="191"/>
      <c r="D25" s="160" t="s">
        <v>183</v>
      </c>
      <c r="E25" s="54"/>
      <c r="F25" s="156"/>
    </row>
    <row r="26" spans="1:6" x14ac:dyDescent="0.25">
      <c r="A26" s="162"/>
      <c r="B26" s="180"/>
      <c r="C26" s="191"/>
      <c r="D26" s="54"/>
      <c r="E26" s="54"/>
      <c r="F26" s="156"/>
    </row>
    <row r="27" spans="1:6" x14ac:dyDescent="0.25">
      <c r="A27" s="161" t="s">
        <v>182</v>
      </c>
      <c r="B27" s="179"/>
      <c r="C27" s="195">
        <f>+Summary!P64+Summary!Q64+Summary!S64</f>
        <v>473759.45557200001</v>
      </c>
      <c r="D27" s="160" t="s">
        <v>181</v>
      </c>
      <c r="E27" s="54" t="s">
        <v>180</v>
      </c>
      <c r="F27" s="163" t="s">
        <v>179</v>
      </c>
    </row>
    <row r="28" spans="1:6" x14ac:dyDescent="0.25">
      <c r="A28" s="162"/>
      <c r="B28" s="180"/>
      <c r="C28" s="181"/>
      <c r="D28" s="160" t="s">
        <v>178</v>
      </c>
      <c r="E28" s="54"/>
      <c r="F28" s="156"/>
    </row>
    <row r="29" spans="1:6" x14ac:dyDescent="0.25">
      <c r="A29" s="162"/>
      <c r="B29" s="180"/>
      <c r="C29" s="181"/>
      <c r="D29" s="160" t="s">
        <v>177</v>
      </c>
      <c r="E29" s="54"/>
      <c r="F29" s="156"/>
    </row>
    <row r="30" spans="1:6" x14ac:dyDescent="0.25">
      <c r="A30" s="162"/>
      <c r="B30" s="180"/>
      <c r="C30" s="181"/>
      <c r="D30" s="54"/>
      <c r="E30" s="54"/>
      <c r="F30" s="156"/>
    </row>
    <row r="31" spans="1:6" x14ac:dyDescent="0.25">
      <c r="A31" s="161" t="s">
        <v>176</v>
      </c>
      <c r="B31" s="179"/>
      <c r="C31" s="186">
        <f>+Summary!G64</f>
        <v>28870737.940876</v>
      </c>
      <c r="D31" s="160" t="s">
        <v>175</v>
      </c>
      <c r="E31" s="54" t="s">
        <v>174</v>
      </c>
      <c r="F31" s="156" t="s">
        <v>173</v>
      </c>
    </row>
    <row r="32" spans="1:6" x14ac:dyDescent="0.25">
      <c r="A32" s="158"/>
      <c r="B32" s="54"/>
      <c r="C32" s="182"/>
      <c r="D32" s="160" t="s">
        <v>172</v>
      </c>
      <c r="E32" s="54"/>
      <c r="F32" s="156"/>
    </row>
    <row r="33" spans="1:6" x14ac:dyDescent="0.25">
      <c r="A33" s="158"/>
      <c r="B33" s="54"/>
      <c r="C33" s="182"/>
      <c r="D33" s="160" t="s">
        <v>171</v>
      </c>
      <c r="E33" s="54"/>
      <c r="F33" s="156"/>
    </row>
    <row r="34" spans="1:6" x14ac:dyDescent="0.25">
      <c r="A34" s="158"/>
      <c r="B34" s="54"/>
      <c r="C34" s="182"/>
      <c r="D34" s="160" t="s">
        <v>170</v>
      </c>
      <c r="E34" s="54"/>
      <c r="F34" s="156"/>
    </row>
    <row r="35" spans="1:6" x14ac:dyDescent="0.25">
      <c r="A35" s="158"/>
      <c r="B35" s="54"/>
      <c r="C35" s="182"/>
      <c r="D35" s="157" t="s">
        <v>169</v>
      </c>
      <c r="E35" s="54"/>
      <c r="F35" s="156"/>
    </row>
    <row r="36" spans="1:6" x14ac:dyDescent="0.25">
      <c r="A36" s="158"/>
      <c r="B36" s="184" t="s">
        <v>111</v>
      </c>
      <c r="C36" s="185">
        <f>SUM(C5:C35)</f>
        <v>218468145.90499598</v>
      </c>
      <c r="D36" s="159" t="s">
        <v>168</v>
      </c>
      <c r="E36" s="54"/>
      <c r="F36" s="156"/>
    </row>
    <row r="37" spans="1:6" x14ac:dyDescent="0.25">
      <c r="A37" s="158"/>
      <c r="B37" s="54"/>
      <c r="C37" s="183">
        <f>+C36-Summary!T65</f>
        <v>0</v>
      </c>
      <c r="D37" s="159" t="s">
        <v>167</v>
      </c>
      <c r="E37" s="54"/>
      <c r="F37" s="156"/>
    </row>
    <row r="38" spans="1:6" x14ac:dyDescent="0.25">
      <c r="A38" s="158"/>
      <c r="B38" s="54"/>
      <c r="C38" s="54"/>
      <c r="D38" s="159" t="s">
        <v>166</v>
      </c>
      <c r="E38" s="54"/>
      <c r="F38" s="156"/>
    </row>
    <row r="39" spans="1:6" x14ac:dyDescent="0.25">
      <c r="A39" s="158"/>
      <c r="B39" s="54"/>
      <c r="C39" s="54"/>
      <c r="D39" s="157" t="s">
        <v>165</v>
      </c>
      <c r="E39" s="54"/>
      <c r="F39" s="156"/>
    </row>
    <row r="40" spans="1:6" ht="15.75" thickBot="1" x14ac:dyDescent="0.3">
      <c r="A40" s="155"/>
      <c r="B40" s="153"/>
      <c r="C40" s="153"/>
      <c r="D40" s="154" t="s">
        <v>164</v>
      </c>
      <c r="E40" s="153"/>
      <c r="F40" s="152"/>
    </row>
    <row r="41" spans="1:6" ht="15.75" thickTop="1" x14ac:dyDescent="0.25"/>
    <row r="42" spans="1:6" x14ac:dyDescent="0.25">
      <c r="A42" s="77"/>
      <c r="B42" s="77"/>
      <c r="C42" s="77"/>
    </row>
  </sheetData>
  <pageMargins left="0.7" right="0.7" top="0.75" bottom="0.75" header="0.3" footer="0.3"/>
  <pageSetup paperSize="8" scale="5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7"/>
  <sheetViews>
    <sheetView showGridLines="0" topLeftCell="D4" zoomScaleNormal="100" workbookViewId="0">
      <selection activeCell="L63" sqref="L63"/>
    </sheetView>
  </sheetViews>
  <sheetFormatPr defaultRowHeight="15" outlineLevelRow="1" x14ac:dyDescent="0.25"/>
  <cols>
    <col min="1" max="1" width="1" customWidth="1"/>
    <col min="2" max="2" width="13.85546875" bestFit="1" customWidth="1"/>
    <col min="3" max="3" width="16.42578125" bestFit="1" customWidth="1"/>
    <col min="4" max="4" width="15.5703125" bestFit="1" customWidth="1"/>
    <col min="5" max="5" width="14.140625" bestFit="1" customWidth="1"/>
    <col min="6" max="6" width="1.85546875" customWidth="1"/>
    <col min="7" max="7" width="15" bestFit="1" customWidth="1"/>
    <col min="8" max="11" width="13.85546875" customWidth="1"/>
    <col min="12" max="12" width="16" customWidth="1"/>
    <col min="13" max="15" width="13.85546875" customWidth="1"/>
    <col min="16" max="19" width="13.85546875" style="55" customWidth="1"/>
    <col min="20" max="20" width="15" style="55" customWidth="1"/>
    <col min="21" max="21" width="13.85546875" style="55" customWidth="1"/>
    <col min="22" max="22" width="13.85546875" customWidth="1"/>
    <col min="23" max="24" width="14.140625" bestFit="1" customWidth="1"/>
    <col min="25" max="25" width="14" bestFit="1" customWidth="1"/>
  </cols>
  <sheetData>
    <row r="1" spans="2:21" ht="15.75" thickBot="1" x14ac:dyDescent="0.3">
      <c r="G1" s="25" t="s">
        <v>94</v>
      </c>
      <c r="H1" s="25" t="s">
        <v>95</v>
      </c>
      <c r="I1" s="25" t="s">
        <v>96</v>
      </c>
      <c r="J1" s="25" t="s">
        <v>97</v>
      </c>
      <c r="K1" s="25" t="s">
        <v>98</v>
      </c>
    </row>
    <row r="2" spans="2:21" ht="21.75" thickBot="1" x14ac:dyDescent="0.3">
      <c r="B2" s="22" t="s">
        <v>9</v>
      </c>
      <c r="C2" s="22" t="s">
        <v>75</v>
      </c>
      <c r="D2" s="23" t="s">
        <v>76</v>
      </c>
      <c r="E2" s="23" t="s">
        <v>77</v>
      </c>
      <c r="F2" s="23"/>
      <c r="G2" s="23" t="s">
        <v>78</v>
      </c>
      <c r="H2" s="24" t="s">
        <v>81</v>
      </c>
      <c r="I2" s="24" t="s">
        <v>92</v>
      </c>
      <c r="J2" s="24" t="s">
        <v>91</v>
      </c>
      <c r="K2" s="26" t="s">
        <v>93</v>
      </c>
      <c r="M2" s="128"/>
    </row>
    <row r="3" spans="2:21" s="121" customFormat="1" ht="15.75" thickBot="1" x14ac:dyDescent="0.3">
      <c r="B3" s="140"/>
      <c r="C3" s="134">
        <v>2013</v>
      </c>
      <c r="D3" s="27">
        <f>D35</f>
        <v>5111331229.8400002</v>
      </c>
      <c r="E3" s="27">
        <f>E35</f>
        <v>442365887.73000002</v>
      </c>
      <c r="F3" s="27"/>
      <c r="G3" s="27">
        <f>G35</f>
        <v>7444824.2800000003</v>
      </c>
      <c r="H3" s="28">
        <f>H35</f>
        <v>0</v>
      </c>
      <c r="I3" s="27">
        <f>SUM(I35:V35)</f>
        <v>61339020.689999998</v>
      </c>
      <c r="J3" s="29">
        <f>H3+I3</f>
        <v>61339020.689999998</v>
      </c>
      <c r="K3" s="29">
        <f>+G3+J3</f>
        <v>68783844.969999999</v>
      </c>
      <c r="M3" s="128"/>
    </row>
    <row r="4" spans="2:21" ht="15.75" thickBot="1" x14ac:dyDescent="0.3">
      <c r="C4" s="134">
        <v>2014</v>
      </c>
      <c r="D4" s="27">
        <f t="shared" ref="D4:D11" si="0">D36</f>
        <v>5177345265.75</v>
      </c>
      <c r="E4" s="27">
        <v>431223118.99000001</v>
      </c>
      <c r="F4" s="27"/>
      <c r="G4" s="27">
        <v>11102225.42</v>
      </c>
      <c r="H4" s="28">
        <f>H36</f>
        <v>24743868.59</v>
      </c>
      <c r="I4" s="27">
        <f t="shared" ref="I4:I11" si="1">SUM(I36:V36)</f>
        <v>48073534.949999996</v>
      </c>
      <c r="J4" s="29">
        <f t="shared" ref="J4:J11" si="2">H4+I4</f>
        <v>72817403.539999992</v>
      </c>
      <c r="K4" s="29">
        <f t="shared" ref="K4:K11" si="3">+G4+J4</f>
        <v>83919628.959999993</v>
      </c>
      <c r="M4" s="126" t="s">
        <v>94</v>
      </c>
      <c r="N4" s="334" t="s">
        <v>157</v>
      </c>
      <c r="O4" s="335"/>
      <c r="P4" s="335"/>
      <c r="Q4" s="335"/>
      <c r="R4" s="335"/>
      <c r="S4" s="336"/>
      <c r="T4"/>
      <c r="U4"/>
    </row>
    <row r="5" spans="2:21" ht="15.75" thickBot="1" x14ac:dyDescent="0.3">
      <c r="C5" s="134">
        <v>2015</v>
      </c>
      <c r="D5" s="27">
        <f t="shared" si="0"/>
        <v>5402537959.9499998</v>
      </c>
      <c r="E5" s="27">
        <v>446278627.00999999</v>
      </c>
      <c r="F5" s="27"/>
      <c r="G5" s="27">
        <v>12603982.529999999</v>
      </c>
      <c r="H5" s="28">
        <f t="shared" ref="H5:H11" si="4">H37</f>
        <v>25889559.420000002</v>
      </c>
      <c r="I5" s="27">
        <f t="shared" si="1"/>
        <v>50872668.829999998</v>
      </c>
      <c r="J5" s="29">
        <f t="shared" si="2"/>
        <v>76762228.25</v>
      </c>
      <c r="K5" s="29">
        <f t="shared" si="3"/>
        <v>89366210.780000001</v>
      </c>
      <c r="M5" s="126" t="s">
        <v>95</v>
      </c>
      <c r="N5" s="334" t="s">
        <v>158</v>
      </c>
      <c r="O5" s="335"/>
      <c r="P5" s="335"/>
      <c r="Q5" s="335"/>
      <c r="R5" s="335"/>
      <c r="S5" s="336"/>
      <c r="T5"/>
      <c r="U5"/>
    </row>
    <row r="6" spans="2:21" ht="15.75" thickBot="1" x14ac:dyDescent="0.3">
      <c r="C6" s="134">
        <v>2016</v>
      </c>
      <c r="D6" s="27">
        <f t="shared" si="0"/>
        <v>5514933568.9899998</v>
      </c>
      <c r="E6" s="27">
        <v>459432566.57999998</v>
      </c>
      <c r="F6" s="27"/>
      <c r="G6" s="27">
        <v>12624702.859999999</v>
      </c>
      <c r="H6" s="28">
        <f t="shared" si="4"/>
        <v>25141504.650000002</v>
      </c>
      <c r="I6" s="27">
        <f t="shared" si="1"/>
        <v>51967115.710000016</v>
      </c>
      <c r="J6" s="29">
        <f t="shared" si="2"/>
        <v>77108620.360000014</v>
      </c>
      <c r="K6" s="29">
        <f t="shared" si="3"/>
        <v>89733323.220000014</v>
      </c>
      <c r="M6" s="126" t="s">
        <v>96</v>
      </c>
      <c r="N6" s="334" t="s">
        <v>159</v>
      </c>
      <c r="O6" s="335"/>
      <c r="P6" s="335"/>
      <c r="Q6" s="335"/>
      <c r="R6" s="335"/>
      <c r="S6" s="336"/>
      <c r="T6"/>
      <c r="U6"/>
    </row>
    <row r="7" spans="2:21" ht="15.75" thickBot="1" x14ac:dyDescent="0.3">
      <c r="C7" s="134">
        <v>2017</v>
      </c>
      <c r="D7" s="27">
        <f t="shared" si="0"/>
        <v>5468326234.6000004</v>
      </c>
      <c r="E7" s="27">
        <v>444962154.55000001</v>
      </c>
      <c r="F7" s="27"/>
      <c r="G7" s="27">
        <v>11221333.98</v>
      </c>
      <c r="H7" s="28">
        <f t="shared" si="4"/>
        <v>22857874.880000003</v>
      </c>
      <c r="I7" s="27">
        <f t="shared" si="1"/>
        <v>58554164.849999994</v>
      </c>
      <c r="J7" s="29">
        <f t="shared" si="2"/>
        <v>81412039.729999989</v>
      </c>
      <c r="K7" s="29">
        <f t="shared" si="3"/>
        <v>92633373.709999993</v>
      </c>
    </row>
    <row r="8" spans="2:21" ht="15.75" thickBot="1" x14ac:dyDescent="0.3">
      <c r="C8" s="134">
        <v>2018</v>
      </c>
      <c r="D8" s="27">
        <f t="shared" si="0"/>
        <v>5551893797.1499996</v>
      </c>
      <c r="E8" s="27">
        <v>445511202.79000002</v>
      </c>
      <c r="F8" s="27"/>
      <c r="G8" s="27">
        <v>11761352.43</v>
      </c>
      <c r="H8" s="28">
        <f t="shared" si="4"/>
        <v>22650779.199999999</v>
      </c>
      <c r="I8" s="27">
        <f t="shared" si="1"/>
        <v>58939376.240000002</v>
      </c>
      <c r="J8" s="29">
        <f t="shared" si="2"/>
        <v>81590155.439999998</v>
      </c>
      <c r="K8" s="29">
        <f t="shared" si="3"/>
        <v>93351507.870000005</v>
      </c>
    </row>
    <row r="9" spans="2:21" ht="15.75" thickBot="1" x14ac:dyDescent="0.3">
      <c r="C9" s="134">
        <v>2019</v>
      </c>
      <c r="D9" s="27">
        <f t="shared" si="0"/>
        <v>5851909080.8599997</v>
      </c>
      <c r="E9" s="27">
        <v>459123839.61000001</v>
      </c>
      <c r="F9" s="27"/>
      <c r="G9" s="27">
        <v>12795304.5</v>
      </c>
      <c r="H9" s="28">
        <f t="shared" si="4"/>
        <v>22619373.930000003</v>
      </c>
      <c r="I9" s="27">
        <f t="shared" si="1"/>
        <v>53732532.600000009</v>
      </c>
      <c r="J9" s="29">
        <f t="shared" si="2"/>
        <v>76351906.530000016</v>
      </c>
      <c r="K9" s="29">
        <f t="shared" si="3"/>
        <v>89147211.030000016</v>
      </c>
    </row>
    <row r="10" spans="2:21" ht="15.75" thickBot="1" x14ac:dyDescent="0.3">
      <c r="C10" s="134">
        <v>2020</v>
      </c>
      <c r="D10" s="27">
        <f t="shared" si="0"/>
        <v>4460847923.75</v>
      </c>
      <c r="E10" s="27">
        <f>E42</f>
        <v>339599506.88</v>
      </c>
      <c r="F10" s="27"/>
      <c r="G10" s="27">
        <f>G42</f>
        <v>8680347.8100000005</v>
      </c>
      <c r="H10" s="28">
        <f t="shared" si="4"/>
        <v>15328608.969999999</v>
      </c>
      <c r="I10" s="27">
        <f t="shared" si="1"/>
        <v>42715793.620000005</v>
      </c>
      <c r="J10" s="29">
        <f t="shared" si="2"/>
        <v>58044402.590000004</v>
      </c>
      <c r="K10" s="29">
        <f t="shared" si="3"/>
        <v>66724750.400000006</v>
      </c>
      <c r="M10" t="s">
        <v>153</v>
      </c>
    </row>
    <row r="11" spans="2:21" ht="15.75" thickBot="1" x14ac:dyDescent="0.3">
      <c r="C11" s="134">
        <v>2021</v>
      </c>
      <c r="D11" s="27">
        <f t="shared" si="0"/>
        <v>1962426836.3299999</v>
      </c>
      <c r="E11" s="27">
        <f>E43</f>
        <v>158226941.55000001</v>
      </c>
      <c r="F11" s="27"/>
      <c r="G11" s="125">
        <f>G43</f>
        <v>2783385.02</v>
      </c>
      <c r="H11" s="28">
        <f t="shared" si="4"/>
        <v>802276.54</v>
      </c>
      <c r="I11" s="27">
        <f t="shared" si="1"/>
        <v>11493913.43</v>
      </c>
      <c r="J11" s="29">
        <f t="shared" si="2"/>
        <v>12296189.969999999</v>
      </c>
      <c r="K11" s="29">
        <f t="shared" si="3"/>
        <v>15079574.989999998</v>
      </c>
      <c r="M11" t="s">
        <v>153</v>
      </c>
    </row>
    <row r="12" spans="2:21" ht="15.75" thickBot="1" x14ac:dyDescent="0.3">
      <c r="C12" s="135" t="s">
        <v>161</v>
      </c>
      <c r="D12" s="132">
        <f>SUM(D3:D11)</f>
        <v>44501551897.220001</v>
      </c>
      <c r="E12" s="132">
        <f>SUM(E3:E11)</f>
        <v>3626723845.6900005</v>
      </c>
      <c r="F12" s="131"/>
      <c r="G12" s="132">
        <f>SUM(G3:G11)</f>
        <v>91017458.829999998</v>
      </c>
      <c r="H12" s="132">
        <f>SUM(H3:H11)</f>
        <v>160033846.18000001</v>
      </c>
      <c r="I12" s="132">
        <f t="shared" ref="I12:K12" si="5">SUM(I3:I11)</f>
        <v>437688120.92000002</v>
      </c>
      <c r="J12" s="132">
        <f t="shared" si="5"/>
        <v>597721967.10000014</v>
      </c>
      <c r="K12" s="132">
        <f t="shared" si="5"/>
        <v>688739425.92999995</v>
      </c>
      <c r="M12" s="129"/>
    </row>
    <row r="13" spans="2:21" ht="15.75" thickBot="1" x14ac:dyDescent="0.3"/>
    <row r="14" spans="2:21" s="111" customFormat="1" ht="21.75" thickBot="1" x14ac:dyDescent="0.3">
      <c r="B14" s="22" t="s">
        <v>155</v>
      </c>
      <c r="C14" s="22" t="s">
        <v>75</v>
      </c>
      <c r="D14" s="23" t="s">
        <v>76</v>
      </c>
      <c r="E14" s="23" t="s">
        <v>77</v>
      </c>
      <c r="F14" s="23"/>
      <c r="G14" s="23" t="s">
        <v>78</v>
      </c>
      <c r="H14" s="24" t="s">
        <v>81</v>
      </c>
      <c r="I14" s="24" t="s">
        <v>92</v>
      </c>
      <c r="J14" s="24" t="s">
        <v>91</v>
      </c>
      <c r="K14" s="26" t="s">
        <v>93</v>
      </c>
    </row>
    <row r="15" spans="2:21" s="121" customFormat="1" ht="15.75" thickBot="1" x14ac:dyDescent="0.3">
      <c r="B15" s="140"/>
      <c r="C15" s="134">
        <v>2013</v>
      </c>
      <c r="D15" s="27">
        <f>D3</f>
        <v>5111331229.8400002</v>
      </c>
      <c r="E15" s="27">
        <f>E3</f>
        <v>442365887.73000002</v>
      </c>
      <c r="F15" s="27"/>
      <c r="G15" s="27">
        <f>G3*0.3172</f>
        <v>2361498.261616</v>
      </c>
      <c r="H15" s="28">
        <f t="shared" ref="H15:I16" si="6">H3*0.3172</f>
        <v>0</v>
      </c>
      <c r="I15" s="27">
        <f t="shared" si="6"/>
        <v>19456737.362868</v>
      </c>
      <c r="J15" s="29">
        <f>H15+I15</f>
        <v>19456737.362868</v>
      </c>
      <c r="K15" s="29">
        <f>J15+G15</f>
        <v>21818235.624483999</v>
      </c>
    </row>
    <row r="16" spans="2:21" s="111" customFormat="1" ht="15.75" thickBot="1" x14ac:dyDescent="0.3">
      <c r="C16" s="134">
        <v>2014</v>
      </c>
      <c r="D16" s="27">
        <f t="shared" ref="D16:E23" si="7">D4</f>
        <v>5177345265.75</v>
      </c>
      <c r="E16" s="27">
        <f t="shared" si="7"/>
        <v>431223118.99000001</v>
      </c>
      <c r="F16" s="27"/>
      <c r="G16" s="27">
        <f t="shared" ref="G16:G23" si="8">G4*0.3172</f>
        <v>3521625.9032239998</v>
      </c>
      <c r="H16" s="28">
        <f t="shared" si="6"/>
        <v>7848755.1167479996</v>
      </c>
      <c r="I16" s="27">
        <f t="shared" si="6"/>
        <v>15248925.286139999</v>
      </c>
      <c r="J16" s="29">
        <f>H16+I16</f>
        <v>23097680.402888</v>
      </c>
      <c r="K16" s="29">
        <f>J16+G16</f>
        <v>26619306.306111999</v>
      </c>
    </row>
    <row r="17" spans="2:25" s="111" customFormat="1" ht="15.75" thickBot="1" x14ac:dyDescent="0.3">
      <c r="C17" s="134">
        <v>2015</v>
      </c>
      <c r="D17" s="27">
        <f t="shared" si="7"/>
        <v>5402537959.9499998</v>
      </c>
      <c r="E17" s="27">
        <f t="shared" si="7"/>
        <v>446278627.00999999</v>
      </c>
      <c r="F17" s="27"/>
      <c r="G17" s="27">
        <f t="shared" si="8"/>
        <v>3997983.2585159997</v>
      </c>
      <c r="H17" s="28">
        <f t="shared" ref="H17:I23" si="9">H5*0.3172</f>
        <v>8212168.2480239999</v>
      </c>
      <c r="I17" s="27">
        <f t="shared" si="9"/>
        <v>16136810.552875999</v>
      </c>
      <c r="J17" s="29">
        <f t="shared" ref="J17:J23" si="10">H17+I17</f>
        <v>24348978.800899997</v>
      </c>
      <c r="K17" s="29">
        <f t="shared" ref="K17:K23" si="11">J17+G17</f>
        <v>28346962.059415996</v>
      </c>
    </row>
    <row r="18" spans="2:25" s="111" customFormat="1" ht="15.75" thickBot="1" x14ac:dyDescent="0.3">
      <c r="C18" s="134">
        <v>2016</v>
      </c>
      <c r="D18" s="27">
        <f t="shared" si="7"/>
        <v>5514933568.9899998</v>
      </c>
      <c r="E18" s="27">
        <f t="shared" si="7"/>
        <v>459432566.57999998</v>
      </c>
      <c r="F18" s="27"/>
      <c r="G18" s="27">
        <f t="shared" si="8"/>
        <v>4004555.7471919996</v>
      </c>
      <c r="H18" s="28">
        <f t="shared" si="9"/>
        <v>7974885.2749800002</v>
      </c>
      <c r="I18" s="27">
        <f t="shared" si="9"/>
        <v>16483969.103212005</v>
      </c>
      <c r="J18" s="29">
        <f t="shared" si="10"/>
        <v>24458854.378192004</v>
      </c>
      <c r="K18" s="29">
        <f t="shared" si="11"/>
        <v>28463410.125384003</v>
      </c>
    </row>
    <row r="19" spans="2:25" s="111" customFormat="1" ht="15.75" thickBot="1" x14ac:dyDescent="0.3">
      <c r="C19" s="134">
        <v>2017</v>
      </c>
      <c r="D19" s="27">
        <f t="shared" si="7"/>
        <v>5468326234.6000004</v>
      </c>
      <c r="E19" s="27">
        <f t="shared" si="7"/>
        <v>444962154.55000001</v>
      </c>
      <c r="F19" s="27"/>
      <c r="G19" s="27">
        <f t="shared" si="8"/>
        <v>3559407.138456</v>
      </c>
      <c r="H19" s="28">
        <f t="shared" si="9"/>
        <v>7250517.911936</v>
      </c>
      <c r="I19" s="27">
        <f t="shared" si="9"/>
        <v>18573381.090419997</v>
      </c>
      <c r="J19" s="29">
        <f t="shared" si="10"/>
        <v>25823899.002355997</v>
      </c>
      <c r="K19" s="29">
        <f t="shared" si="11"/>
        <v>29383306.140811995</v>
      </c>
      <c r="N19" s="111">
        <f>100/11</f>
        <v>9.0909090909090917</v>
      </c>
    </row>
    <row r="20" spans="2:25" s="111" customFormat="1" ht="15.75" thickBot="1" x14ac:dyDescent="0.3">
      <c r="C20" s="134">
        <v>2018</v>
      </c>
      <c r="D20" s="27">
        <f t="shared" si="7"/>
        <v>5551893797.1499996</v>
      </c>
      <c r="E20" s="27">
        <f t="shared" si="7"/>
        <v>445511202.79000002</v>
      </c>
      <c r="F20" s="27"/>
      <c r="G20" s="27">
        <f t="shared" si="8"/>
        <v>3730700.9907959998</v>
      </c>
      <c r="H20" s="28">
        <f t="shared" si="9"/>
        <v>7184827.1622399995</v>
      </c>
      <c r="I20" s="27">
        <f t="shared" si="9"/>
        <v>18695570.143328</v>
      </c>
      <c r="J20" s="29">
        <f t="shared" si="10"/>
        <v>25880397.305567998</v>
      </c>
      <c r="K20" s="29">
        <f t="shared" si="11"/>
        <v>29611098.296363998</v>
      </c>
      <c r="N20" s="111">
        <f>150-N19</f>
        <v>140.90909090909091</v>
      </c>
    </row>
    <row r="21" spans="2:25" s="111" customFormat="1" ht="15.75" thickBot="1" x14ac:dyDescent="0.3">
      <c r="C21" s="134">
        <v>2019</v>
      </c>
      <c r="D21" s="27">
        <f t="shared" si="7"/>
        <v>5851909080.8599997</v>
      </c>
      <c r="E21" s="27">
        <f t="shared" si="7"/>
        <v>459123839.61000001</v>
      </c>
      <c r="F21" s="27"/>
      <c r="G21" s="27">
        <f t="shared" si="8"/>
        <v>4058670.5873999996</v>
      </c>
      <c r="H21" s="28">
        <f t="shared" si="9"/>
        <v>7174865.410596001</v>
      </c>
      <c r="I21" s="27">
        <f t="shared" si="9"/>
        <v>17043959.340720002</v>
      </c>
      <c r="J21" s="29">
        <f t="shared" si="10"/>
        <v>24218824.751316004</v>
      </c>
      <c r="K21" s="29">
        <f t="shared" si="11"/>
        <v>28277495.338716004</v>
      </c>
    </row>
    <row r="22" spans="2:25" s="111" customFormat="1" ht="15.75" thickBot="1" x14ac:dyDescent="0.3">
      <c r="C22" s="134">
        <v>2020</v>
      </c>
      <c r="D22" s="27">
        <f t="shared" si="7"/>
        <v>4460847923.75</v>
      </c>
      <c r="E22" s="27">
        <f t="shared" si="7"/>
        <v>339599506.88</v>
      </c>
      <c r="F22" s="27"/>
      <c r="G22" s="27">
        <f t="shared" si="8"/>
        <v>2753406.3253319999</v>
      </c>
      <c r="H22" s="28">
        <f t="shared" si="9"/>
        <v>4862234.765283999</v>
      </c>
      <c r="I22" s="27">
        <f t="shared" si="9"/>
        <v>13549449.736264002</v>
      </c>
      <c r="J22" s="29">
        <f t="shared" si="10"/>
        <v>18411684.501548</v>
      </c>
      <c r="K22" s="29">
        <f t="shared" si="11"/>
        <v>21165090.826880001</v>
      </c>
    </row>
    <row r="23" spans="2:25" s="111" customFormat="1" ht="15.75" thickBot="1" x14ac:dyDescent="0.3">
      <c r="C23" s="134">
        <v>2021</v>
      </c>
      <c r="D23" s="27">
        <f t="shared" si="7"/>
        <v>1962426836.3299999</v>
      </c>
      <c r="E23" s="27">
        <f t="shared" si="7"/>
        <v>158226941.55000001</v>
      </c>
      <c r="F23" s="27"/>
      <c r="G23" s="27">
        <f t="shared" si="8"/>
        <v>882889.72834399994</v>
      </c>
      <c r="H23" s="28">
        <f t="shared" si="9"/>
        <v>254482.11848800001</v>
      </c>
      <c r="I23" s="27">
        <f t="shared" si="9"/>
        <v>3645869.3399959998</v>
      </c>
      <c r="J23" s="29">
        <f t="shared" si="10"/>
        <v>3900351.4584839996</v>
      </c>
      <c r="K23" s="29">
        <f t="shared" si="11"/>
        <v>4783241.1868279995</v>
      </c>
    </row>
    <row r="24" spans="2:25" s="111" customFormat="1" ht="15.75" thickBot="1" x14ac:dyDescent="0.3">
      <c r="C24" s="135" t="s">
        <v>161</v>
      </c>
      <c r="D24" s="132">
        <f>SUM(D15:D23)</f>
        <v>44501551897.220001</v>
      </c>
      <c r="E24" s="132">
        <f>SUM(E15:E23)</f>
        <v>3626723845.6900005</v>
      </c>
      <c r="F24" s="131"/>
      <c r="G24" s="132">
        <f t="shared" ref="G24:K24" si="12">SUM(G15:G23)</f>
        <v>28870737.940876003</v>
      </c>
      <c r="H24" s="132">
        <f t="shared" si="12"/>
        <v>50762736.008295998</v>
      </c>
      <c r="I24" s="132">
        <f t="shared" si="12"/>
        <v>138834671.95582399</v>
      </c>
      <c r="J24" s="132">
        <f t="shared" si="12"/>
        <v>189597407.96412</v>
      </c>
      <c r="K24" s="151">
        <f t="shared" si="12"/>
        <v>218468145.90499601</v>
      </c>
    </row>
    <row r="25" spans="2:25" s="111" customFormat="1" ht="15.75" thickBot="1" x14ac:dyDescent="0.3"/>
    <row r="26" spans="2:25" ht="21.75" thickBot="1" x14ac:dyDescent="0.3">
      <c r="B26" s="22" t="s">
        <v>156</v>
      </c>
      <c r="C26" s="22" t="s">
        <v>75</v>
      </c>
      <c r="D26" s="23" t="s">
        <v>76</v>
      </c>
      <c r="E26" s="23" t="s">
        <v>77</v>
      </c>
      <c r="F26" s="23"/>
      <c r="G26" s="23" t="s">
        <v>78</v>
      </c>
      <c r="H26" s="24" t="s">
        <v>81</v>
      </c>
      <c r="I26" s="24" t="s">
        <v>16</v>
      </c>
      <c r="J26" s="24" t="s">
        <v>19</v>
      </c>
      <c r="K26" s="24" t="s">
        <v>22</v>
      </c>
      <c r="L26" s="24" t="s">
        <v>41</v>
      </c>
      <c r="M26" s="24" t="s">
        <v>44</v>
      </c>
      <c r="N26" s="24" t="s">
        <v>47</v>
      </c>
      <c r="O26" s="24" t="s">
        <v>15</v>
      </c>
      <c r="P26" s="24" t="s">
        <v>56</v>
      </c>
      <c r="Q26" s="24" t="s">
        <v>117</v>
      </c>
      <c r="R26" s="24" t="s">
        <v>134</v>
      </c>
      <c r="S26" s="24" t="s">
        <v>138</v>
      </c>
      <c r="T26" s="24" t="s">
        <v>136</v>
      </c>
      <c r="U26" s="24" t="s">
        <v>135</v>
      </c>
      <c r="V26" s="24" t="s">
        <v>139</v>
      </c>
      <c r="W26" s="24" t="s">
        <v>91</v>
      </c>
      <c r="X26" s="26" t="s">
        <v>93</v>
      </c>
    </row>
    <row r="27" spans="2:25" s="55" customFormat="1" ht="15.75" hidden="1" customHeight="1" outlineLevel="1" thickBot="1" x14ac:dyDescent="0.3">
      <c r="B27" s="329" t="s">
        <v>163</v>
      </c>
      <c r="C27" s="98">
        <v>2005</v>
      </c>
      <c r="D27" s="94">
        <f>VLOOKUP($C27,'COGNOS Data'!$A:$F,3,0)</f>
        <v>3967418646.04</v>
      </c>
      <c r="E27" s="94">
        <f>VLOOKUP($C27,'COGNOS Data'!$A:$F,4,0)</f>
        <v>323348200.51999998</v>
      </c>
      <c r="F27" s="94"/>
      <c r="G27" s="95">
        <f>VLOOKUP($C27,'COGNOS Data'!$A:$F,5,0)</f>
        <v>0</v>
      </c>
      <c r="H27" s="94">
        <f>IFERROR(VLOOKUP($C27,'COGNOS Data'!$I$5:$U$24,MATCH(Summary!H$26,'COGNOS Data'!$I$5:$U$5,0),0),0)</f>
        <v>0</v>
      </c>
      <c r="I27" s="94">
        <f>IFERROR(VLOOKUP($C27,'COGNOS Data'!$I$5:$U$24,MATCH(Summary!I$26,'COGNOS Data'!$I$5:$U$5,0),0),0)</f>
        <v>0</v>
      </c>
      <c r="J27" s="94">
        <f>IFERROR(VLOOKUP($C27,'COGNOS Data'!$I$5:$U$24,MATCH(Summary!J$26,'COGNOS Data'!$I$5:$U$5,0),0),0)</f>
        <v>0</v>
      </c>
      <c r="K27" s="94">
        <f>IFERROR(VLOOKUP($C27,'COGNOS Data'!$I$5:$U$24,MATCH(Summary!K$26,'COGNOS Data'!$I$5:$U$5,0),0),0)</f>
        <v>6962530.0499999998</v>
      </c>
      <c r="L27" s="94">
        <f>IFERROR(VLOOKUP($C27,'COGNOS Data'!$I$5:$U$24,MATCH(Summary!L$26,'COGNOS Data'!$I$5:$U$5,0),0),0)</f>
        <v>15681679.42</v>
      </c>
      <c r="M27" s="94">
        <f>IFERROR(VLOOKUP($C27,'COGNOS Data'!$I$5:$U$24,MATCH(Summary!M$26,'COGNOS Data'!$I$5:$U$5,0),0),0)</f>
        <v>796.4</v>
      </c>
      <c r="N27" s="94">
        <f>IFERROR(VLOOKUP($C27,'COGNOS Data'!$I$5:$U$24,MATCH(Summary!N$26,'COGNOS Data'!$I$5:$U$5,0),0),0)</f>
        <v>0</v>
      </c>
      <c r="O27" s="94">
        <f>IFERROR(VLOOKUP($C27,'COGNOS Data'!$I$5:$U$24,MATCH(Summary!O$26,'COGNOS Data'!$I$5:$U$5,0),0),0)</f>
        <v>2865.7</v>
      </c>
      <c r="P27" s="94">
        <f>IFERROR(VLOOKUP($C27,'COGNOS Data'!$I$5:$U$24,MATCH(Summary!P$26,'COGNOS Data'!$I$5:$U$5,0),0),0)</f>
        <v>0</v>
      </c>
      <c r="Q27" s="94">
        <f>IFERROR(VLOOKUP($C27,'COGNOS Data'!$I$5:$U$24,MATCH(Summary!Q$26,'COGNOS Data'!$I$5:$U$5,0),0),0)</f>
        <v>0</v>
      </c>
      <c r="R27" s="94">
        <f>IFERROR(VLOOKUP($C27,'COGNOS Data'!$I$5:$U$24,MATCH(Summary!R$26,'COGNOS Data'!$I$5:$U$5,0),0),0)</f>
        <v>37633879.5</v>
      </c>
      <c r="S27" s="94">
        <f>IFERROR(VLOOKUP($C27,'COGNOS Data'!$I$5:$U$24,MATCH(Summary!S$26,'COGNOS Data'!$I$5:$U$5,0),0),0)</f>
        <v>213291.55</v>
      </c>
      <c r="T27" s="94">
        <f>IFERROR(VLOOKUP($C27,'COGNOS Data'!$I$5:$U$24,MATCH(Summary!T$26,'COGNOS Data'!$I$5:$U$5,0),0),0)</f>
        <v>507714.65</v>
      </c>
      <c r="U27" s="94">
        <f>IFERROR(VLOOKUP($C27,'COGNOS Data'!$I$5:$U$24,MATCH(Summary!U$26,'COGNOS Data'!$I$5:$U$5,0),0),0)</f>
        <v>580233.84</v>
      </c>
      <c r="V27" s="94">
        <f>IFERROR(VLOOKUP($C27,'COGNOS Data'!$I$5:$U$24,MATCH(Summary!V$26,'COGNOS Data'!$I$5:$U$5,0),0),0)</f>
        <v>640388.36</v>
      </c>
      <c r="W27" s="95">
        <f>SUMIFS('COGNOS Data'!F:F,'COGNOS Data'!A:A,Summary!C27)</f>
        <v>62223379.469999999</v>
      </c>
      <c r="X27" s="95">
        <f>+G27+W27</f>
        <v>62223379.469999999</v>
      </c>
      <c r="Y27" s="18">
        <f>+W27-SUM(H27:V27)</f>
        <v>0</v>
      </c>
    </row>
    <row r="28" spans="2:25" s="55" customFormat="1" ht="15.75" hidden="1" outlineLevel="1" thickBot="1" x14ac:dyDescent="0.3">
      <c r="B28" s="330"/>
      <c r="C28" s="98">
        <v>2006</v>
      </c>
      <c r="D28" s="94">
        <f>VLOOKUP($C28,'COGNOS Data'!$A:$F,3,0)</f>
        <v>4366686874.21</v>
      </c>
      <c r="E28" s="94">
        <f>VLOOKUP($C28,'COGNOS Data'!$A:$F,4,0)</f>
        <v>364084420.60000002</v>
      </c>
      <c r="F28" s="94"/>
      <c r="G28" s="95">
        <f>VLOOKUP($C28,'COGNOS Data'!$A:$F,5,0)</f>
        <v>0</v>
      </c>
      <c r="H28" s="94">
        <f>IFERROR(VLOOKUP($C28,'COGNOS Data'!$I$5:$U$24,MATCH(Summary!H$26,'COGNOS Data'!$I$5:$U$5,0),0),0)</f>
        <v>0</v>
      </c>
      <c r="I28" s="94">
        <f>IFERROR(VLOOKUP($C28,'COGNOS Data'!$I$5:$U$24,MATCH(Summary!I$26,'COGNOS Data'!$I$5:$U$5,0),0),0)</f>
        <v>0</v>
      </c>
      <c r="J28" s="94">
        <f>IFERROR(VLOOKUP($C28,'COGNOS Data'!$I$5:$U$24,MATCH(Summary!J$26,'COGNOS Data'!$I$5:$U$5,0),0),0)</f>
        <v>0</v>
      </c>
      <c r="K28" s="94">
        <f>IFERROR(VLOOKUP($C28,'COGNOS Data'!$I$5:$U$24,MATCH(Summary!K$26,'COGNOS Data'!$I$5:$U$5,0),0),0)</f>
        <v>7076678.1399999997</v>
      </c>
      <c r="L28" s="94">
        <f>IFERROR(VLOOKUP($C28,'COGNOS Data'!$I$5:$U$24,MATCH(Summary!L$26,'COGNOS Data'!$I$5:$U$5,0),0),0)</f>
        <v>19153429.449999999</v>
      </c>
      <c r="M28" s="94">
        <f>IFERROR(VLOOKUP($C28,'COGNOS Data'!$I$5:$U$24,MATCH(Summary!M$26,'COGNOS Data'!$I$5:$U$5,0),0),0)</f>
        <v>1753.26</v>
      </c>
      <c r="N28" s="94">
        <f>IFERROR(VLOOKUP($C28,'COGNOS Data'!$I$5:$U$24,MATCH(Summary!N$26,'COGNOS Data'!$I$5:$U$5,0),0),0)</f>
        <v>0</v>
      </c>
      <c r="O28" s="94">
        <f>IFERROR(VLOOKUP($C28,'COGNOS Data'!$I$5:$U$24,MATCH(Summary!O$26,'COGNOS Data'!$I$5:$U$5,0),0),0)</f>
        <v>98.77</v>
      </c>
      <c r="P28" s="94">
        <f>IFERROR(VLOOKUP($C28,'COGNOS Data'!$I$5:$U$24,MATCH(Summary!P$26,'COGNOS Data'!$I$5:$U$5,0),0),0)</f>
        <v>0</v>
      </c>
      <c r="Q28" s="94">
        <f>IFERROR(VLOOKUP($C28,'COGNOS Data'!$I$5:$U$24,MATCH(Summary!Q$26,'COGNOS Data'!$I$5:$U$5,0),0),0)</f>
        <v>0</v>
      </c>
      <c r="R28" s="94">
        <f>IFERROR(VLOOKUP($C28,'COGNOS Data'!$I$5:$U$24,MATCH(Summary!R$26,'COGNOS Data'!$I$5:$U$5,0),0),0)</f>
        <v>39013724.960000001</v>
      </c>
      <c r="S28" s="94">
        <f>IFERROR(VLOOKUP($C28,'COGNOS Data'!$I$5:$U$24,MATCH(Summary!S$26,'COGNOS Data'!$I$5:$U$5,0),0),0)</f>
        <v>285653.92</v>
      </c>
      <c r="T28" s="94">
        <f>IFERROR(VLOOKUP($C28,'COGNOS Data'!$I$5:$U$24,MATCH(Summary!T$26,'COGNOS Data'!$I$5:$U$5,0),0),0)</f>
        <v>418983.99</v>
      </c>
      <c r="U28" s="94">
        <f>IFERROR(VLOOKUP($C28,'COGNOS Data'!$I$5:$U$24,MATCH(Summary!U$26,'COGNOS Data'!$I$5:$U$5,0),0),0)</f>
        <v>606594.77</v>
      </c>
      <c r="V28" s="94">
        <f>IFERROR(VLOOKUP($C28,'COGNOS Data'!$I$5:$U$24,MATCH(Summary!V$26,'COGNOS Data'!$I$5:$U$5,0),0),0)</f>
        <v>587037.49</v>
      </c>
      <c r="W28" s="95">
        <f>SUMIFS('COGNOS Data'!F:F,'COGNOS Data'!A:A,Summary!C28)</f>
        <v>67143954.75</v>
      </c>
      <c r="X28" s="95">
        <f t="shared" ref="X28:X35" si="13">+G28+W28</f>
        <v>67143954.75</v>
      </c>
      <c r="Y28" s="18">
        <f t="shared" ref="Y28:Y35" si="14">+W28-SUM(H28:V28)</f>
        <v>0</v>
      </c>
    </row>
    <row r="29" spans="2:25" s="55" customFormat="1" ht="15.75" hidden="1" outlineLevel="1" thickBot="1" x14ac:dyDescent="0.3">
      <c r="B29" s="330"/>
      <c r="C29" s="98">
        <v>2007</v>
      </c>
      <c r="D29" s="94">
        <f>VLOOKUP($C29,'COGNOS Data'!$A:$F,3,0)</f>
        <v>4352968473.7200003</v>
      </c>
      <c r="E29" s="94">
        <f>VLOOKUP($C29,'COGNOS Data'!$A:$F,4,0)</f>
        <v>367531498.35000002</v>
      </c>
      <c r="F29" s="94"/>
      <c r="G29" s="95">
        <f>VLOOKUP($C29,'COGNOS Data'!$A:$F,5,0)</f>
        <v>0</v>
      </c>
      <c r="H29" s="94">
        <f>IFERROR(VLOOKUP($C29,'COGNOS Data'!$I$5:$U$24,MATCH(Summary!H$26,'COGNOS Data'!$I$5:$U$5,0),0),0)</f>
        <v>0</v>
      </c>
      <c r="I29" s="94">
        <f>IFERROR(VLOOKUP($C29,'COGNOS Data'!$I$5:$U$24,MATCH(Summary!I$26,'COGNOS Data'!$I$5:$U$5,0),0),0)</f>
        <v>0</v>
      </c>
      <c r="J29" s="94">
        <f>IFERROR(VLOOKUP($C29,'COGNOS Data'!$I$5:$U$24,MATCH(Summary!J$26,'COGNOS Data'!$I$5:$U$5,0),0),0)</f>
        <v>0</v>
      </c>
      <c r="K29" s="94">
        <f>IFERROR(VLOOKUP($C29,'COGNOS Data'!$I$5:$U$24,MATCH(Summary!K$26,'COGNOS Data'!$I$5:$U$5,0),0),0)</f>
        <v>6610009.5499999998</v>
      </c>
      <c r="L29" s="94">
        <f>IFERROR(VLOOKUP($C29,'COGNOS Data'!$I$5:$U$24,MATCH(Summary!L$26,'COGNOS Data'!$I$5:$U$5,0),0),0)</f>
        <v>22442481.030000001</v>
      </c>
      <c r="M29" s="94">
        <f>IFERROR(VLOOKUP($C29,'COGNOS Data'!$I$5:$U$24,MATCH(Summary!M$26,'COGNOS Data'!$I$5:$U$5,0),0),0)</f>
        <v>171239.45</v>
      </c>
      <c r="N29" s="94">
        <f>IFERROR(VLOOKUP($C29,'COGNOS Data'!$I$5:$U$24,MATCH(Summary!N$26,'COGNOS Data'!$I$5:$U$5,0),0),0)</f>
        <v>0</v>
      </c>
      <c r="O29" s="94">
        <f>IFERROR(VLOOKUP($C29,'COGNOS Data'!$I$5:$U$24,MATCH(Summary!O$26,'COGNOS Data'!$I$5:$U$5,0),0),0)</f>
        <v>26.32</v>
      </c>
      <c r="P29" s="94">
        <f>IFERROR(VLOOKUP($C29,'COGNOS Data'!$I$5:$U$24,MATCH(Summary!P$26,'COGNOS Data'!$I$5:$U$5,0),0),0)</f>
        <v>0</v>
      </c>
      <c r="Q29" s="94">
        <f>IFERROR(VLOOKUP($C29,'COGNOS Data'!$I$5:$U$24,MATCH(Summary!Q$26,'COGNOS Data'!$I$5:$U$5,0),0),0)</f>
        <v>0</v>
      </c>
      <c r="R29" s="94">
        <f>IFERROR(VLOOKUP($C29,'COGNOS Data'!$I$5:$U$24,MATCH(Summary!R$26,'COGNOS Data'!$I$5:$U$5,0),0),0)</f>
        <v>41588228.039999999</v>
      </c>
      <c r="S29" s="94">
        <f>IFERROR(VLOOKUP($C29,'COGNOS Data'!$I$5:$U$24,MATCH(Summary!S$26,'COGNOS Data'!$I$5:$U$5,0),0),0)</f>
        <v>339149.69</v>
      </c>
      <c r="T29" s="94">
        <f>IFERROR(VLOOKUP($C29,'COGNOS Data'!$I$5:$U$24,MATCH(Summary!T$26,'COGNOS Data'!$I$5:$U$5,0),0),0)</f>
        <v>270566.62</v>
      </c>
      <c r="U29" s="94">
        <f>IFERROR(VLOOKUP($C29,'COGNOS Data'!$I$5:$U$24,MATCH(Summary!U$26,'COGNOS Data'!$I$5:$U$5,0),0),0)</f>
        <v>237411.12</v>
      </c>
      <c r="V29" s="94">
        <f>IFERROR(VLOOKUP($C29,'COGNOS Data'!$I$5:$U$24,MATCH(Summary!V$26,'COGNOS Data'!$I$5:$U$5,0),0),0)</f>
        <v>181646.26</v>
      </c>
      <c r="W29" s="95">
        <f>SUMIFS('COGNOS Data'!F:F,'COGNOS Data'!A:A,Summary!C29)</f>
        <v>71840758.079999998</v>
      </c>
      <c r="X29" s="95">
        <f t="shared" si="13"/>
        <v>71840758.079999998</v>
      </c>
      <c r="Y29" s="18">
        <f t="shared" si="14"/>
        <v>0</v>
      </c>
    </row>
    <row r="30" spans="2:25" s="55" customFormat="1" ht="15.75" hidden="1" outlineLevel="1" thickBot="1" x14ac:dyDescent="0.3">
      <c r="B30" s="330"/>
      <c r="C30" s="98">
        <v>2008</v>
      </c>
      <c r="D30" s="94">
        <f>VLOOKUP($C30,'COGNOS Data'!$A:$F,3,0)</f>
        <v>4445573703.5799999</v>
      </c>
      <c r="E30" s="94">
        <f>VLOOKUP($C30,'COGNOS Data'!$A:$F,4,0)</f>
        <v>375232895.51999998</v>
      </c>
      <c r="F30" s="94"/>
      <c r="G30" s="95">
        <f>VLOOKUP($C30,'COGNOS Data'!$A:$F,5,0)</f>
        <v>0</v>
      </c>
      <c r="H30" s="94">
        <f>IFERROR(VLOOKUP($C30,'COGNOS Data'!$I$5:$U$24,MATCH(Summary!H$26,'COGNOS Data'!$I$5:$U$5,0),0),0)</f>
        <v>0</v>
      </c>
      <c r="I30" s="94">
        <f>IFERROR(VLOOKUP($C30,'COGNOS Data'!$I$5:$U$24,MATCH(Summary!I$26,'COGNOS Data'!$I$5:$U$5,0),0),0)</f>
        <v>0</v>
      </c>
      <c r="J30" s="94">
        <f>IFERROR(VLOOKUP($C30,'COGNOS Data'!$I$5:$U$24,MATCH(Summary!J$26,'COGNOS Data'!$I$5:$U$5,0),0),0)</f>
        <v>0</v>
      </c>
      <c r="K30" s="94">
        <f>IFERROR(VLOOKUP($C30,'COGNOS Data'!$I$5:$U$24,MATCH(Summary!K$26,'COGNOS Data'!$I$5:$U$5,0),0),0)</f>
        <v>6918767.6600000001</v>
      </c>
      <c r="L30" s="94">
        <f>IFERROR(VLOOKUP($C30,'COGNOS Data'!$I$5:$U$24,MATCH(Summary!L$26,'COGNOS Data'!$I$5:$U$5,0),0),0)</f>
        <v>21046201.260000002</v>
      </c>
      <c r="M30" s="94">
        <f>IFERROR(VLOOKUP($C30,'COGNOS Data'!$I$5:$U$24,MATCH(Summary!M$26,'COGNOS Data'!$I$5:$U$5,0),0),0)</f>
        <v>1017.72</v>
      </c>
      <c r="N30" s="94">
        <f>IFERROR(VLOOKUP($C30,'COGNOS Data'!$I$5:$U$24,MATCH(Summary!N$26,'COGNOS Data'!$I$5:$U$5,0),0),0)</f>
        <v>0</v>
      </c>
      <c r="O30" s="94">
        <f>IFERROR(VLOOKUP($C30,'COGNOS Data'!$I$5:$U$24,MATCH(Summary!O$26,'COGNOS Data'!$I$5:$U$5,0),0),0)</f>
        <v>24.06</v>
      </c>
      <c r="P30" s="94">
        <f>IFERROR(VLOOKUP($C30,'COGNOS Data'!$I$5:$U$24,MATCH(Summary!P$26,'COGNOS Data'!$I$5:$U$5,0),0),0)</f>
        <v>0</v>
      </c>
      <c r="Q30" s="94">
        <f>IFERROR(VLOOKUP($C30,'COGNOS Data'!$I$5:$U$24,MATCH(Summary!Q$26,'COGNOS Data'!$I$5:$U$5,0),0),0)</f>
        <v>0</v>
      </c>
      <c r="R30" s="94">
        <f>IFERROR(VLOOKUP($C30,'COGNOS Data'!$I$5:$U$24,MATCH(Summary!R$26,'COGNOS Data'!$I$5:$U$5,0),0),0)</f>
        <v>40316901.700000003</v>
      </c>
      <c r="S30" s="94">
        <f>IFERROR(VLOOKUP($C30,'COGNOS Data'!$I$5:$U$24,MATCH(Summary!S$26,'COGNOS Data'!$I$5:$U$5,0),0),0)</f>
        <v>372557.19</v>
      </c>
      <c r="T30" s="94">
        <f>IFERROR(VLOOKUP($C30,'COGNOS Data'!$I$5:$U$24,MATCH(Summary!T$26,'COGNOS Data'!$I$5:$U$5,0),0),0)</f>
        <v>0.02</v>
      </c>
      <c r="U30" s="94">
        <f>IFERROR(VLOOKUP($C30,'COGNOS Data'!$I$5:$U$24,MATCH(Summary!U$26,'COGNOS Data'!$I$5:$U$5,0),0),0)</f>
        <v>0</v>
      </c>
      <c r="V30" s="94">
        <f>IFERROR(VLOOKUP($C30,'COGNOS Data'!$I$5:$U$24,MATCH(Summary!V$26,'COGNOS Data'!$I$5:$U$5,0),0),0)</f>
        <v>6913.01</v>
      </c>
      <c r="W30" s="95">
        <f>SUMIFS('COGNOS Data'!F:F,'COGNOS Data'!A:A,Summary!C30)</f>
        <v>68662382.62000002</v>
      </c>
      <c r="X30" s="95">
        <f t="shared" si="13"/>
        <v>68662382.62000002</v>
      </c>
      <c r="Y30" s="18">
        <f t="shared" si="14"/>
        <v>0</v>
      </c>
    </row>
    <row r="31" spans="2:25" s="55" customFormat="1" ht="15.75" hidden="1" outlineLevel="1" thickBot="1" x14ac:dyDescent="0.3">
      <c r="B31" s="330"/>
      <c r="C31" s="98">
        <v>2009</v>
      </c>
      <c r="D31" s="94">
        <f>VLOOKUP($C31,'COGNOS Data'!$A:$F,3,0)</f>
        <v>4613581411.3599997</v>
      </c>
      <c r="E31" s="94">
        <f>VLOOKUP($C31,'COGNOS Data'!$A:$F,4,0)</f>
        <v>387899089.68000001</v>
      </c>
      <c r="F31" s="94"/>
      <c r="G31" s="95">
        <f>VLOOKUP($C31,'COGNOS Data'!$A:$F,5,0)</f>
        <v>0</v>
      </c>
      <c r="H31" s="94">
        <f>IFERROR(VLOOKUP($C31,'COGNOS Data'!$I$5:$U$24,MATCH(Summary!H$26,'COGNOS Data'!$I$5:$U$5,0),0),0)</f>
        <v>0</v>
      </c>
      <c r="I31" s="94">
        <f>IFERROR(VLOOKUP($C31,'COGNOS Data'!$I$5:$U$24,MATCH(Summary!I$26,'COGNOS Data'!$I$5:$U$5,0),0),0)</f>
        <v>0</v>
      </c>
      <c r="J31" s="94">
        <f>IFERROR(VLOOKUP($C31,'COGNOS Data'!$I$5:$U$24,MATCH(Summary!J$26,'COGNOS Data'!$I$5:$U$5,0),0),0)</f>
        <v>0</v>
      </c>
      <c r="K31" s="94">
        <f>IFERROR(VLOOKUP($C31,'COGNOS Data'!$I$5:$U$24,MATCH(Summary!K$26,'COGNOS Data'!$I$5:$U$5,0),0),0)</f>
        <v>3683523.53</v>
      </c>
      <c r="L31" s="94">
        <f>IFERROR(VLOOKUP($C31,'COGNOS Data'!$I$5:$U$24,MATCH(Summary!L$26,'COGNOS Data'!$I$5:$U$5,0),0),0)</f>
        <v>22435844.100000001</v>
      </c>
      <c r="M31" s="94">
        <f>IFERROR(VLOOKUP($C31,'COGNOS Data'!$I$5:$U$24,MATCH(Summary!M$26,'COGNOS Data'!$I$5:$U$5,0),0),0)</f>
        <v>2252.06</v>
      </c>
      <c r="N31" s="94">
        <f>IFERROR(VLOOKUP($C31,'COGNOS Data'!$I$5:$U$24,MATCH(Summary!N$26,'COGNOS Data'!$I$5:$U$5,0),0),0)</f>
        <v>0</v>
      </c>
      <c r="O31" s="94">
        <f>IFERROR(VLOOKUP($C31,'COGNOS Data'!$I$5:$U$24,MATCH(Summary!O$26,'COGNOS Data'!$I$5:$U$5,0),0),0)</f>
        <v>11.57</v>
      </c>
      <c r="P31" s="94">
        <f>IFERROR(VLOOKUP($C31,'COGNOS Data'!$I$5:$U$24,MATCH(Summary!P$26,'COGNOS Data'!$I$5:$U$5,0),0),0)</f>
        <v>0</v>
      </c>
      <c r="Q31" s="94">
        <f>IFERROR(VLOOKUP($C31,'COGNOS Data'!$I$5:$U$24,MATCH(Summary!Q$26,'COGNOS Data'!$I$5:$U$5,0),0),0)</f>
        <v>0</v>
      </c>
      <c r="R31" s="94">
        <f>IFERROR(VLOOKUP($C31,'COGNOS Data'!$I$5:$U$24,MATCH(Summary!R$26,'COGNOS Data'!$I$5:$U$5,0),0),0)</f>
        <v>38866215.829999998</v>
      </c>
      <c r="S31" s="94">
        <f>IFERROR(VLOOKUP($C31,'COGNOS Data'!$I$5:$U$24,MATCH(Summary!S$26,'COGNOS Data'!$I$5:$U$5,0),0),0)</f>
        <v>392861.34</v>
      </c>
      <c r="T31" s="94">
        <f>IFERROR(VLOOKUP($C31,'COGNOS Data'!$I$5:$U$24,MATCH(Summary!T$26,'COGNOS Data'!$I$5:$U$5,0),0),0)</f>
        <v>0</v>
      </c>
      <c r="U31" s="94">
        <f>IFERROR(VLOOKUP($C31,'COGNOS Data'!$I$5:$U$24,MATCH(Summary!U$26,'COGNOS Data'!$I$5:$U$5,0),0),0)</f>
        <v>0</v>
      </c>
      <c r="V31" s="94">
        <f>IFERROR(VLOOKUP($C31,'COGNOS Data'!$I$5:$U$24,MATCH(Summary!V$26,'COGNOS Data'!$I$5:$U$5,0),0),0)</f>
        <v>3978.45</v>
      </c>
      <c r="W31" s="95">
        <f>SUMIFS('COGNOS Data'!F:F,'COGNOS Data'!A:A,Summary!C31)</f>
        <v>65384686.88000001</v>
      </c>
      <c r="X31" s="95">
        <f t="shared" si="13"/>
        <v>65384686.88000001</v>
      </c>
      <c r="Y31" s="18">
        <f t="shared" si="14"/>
        <v>0</v>
      </c>
    </row>
    <row r="32" spans="2:25" s="55" customFormat="1" ht="15.75" hidden="1" outlineLevel="1" thickBot="1" x14ac:dyDescent="0.3">
      <c r="B32" s="330"/>
      <c r="C32" s="98">
        <v>2010</v>
      </c>
      <c r="D32" s="94">
        <f>VLOOKUP($C32,'COGNOS Data'!$A:$F,3,0)</f>
        <v>4723013429.3599997</v>
      </c>
      <c r="E32" s="94">
        <f>VLOOKUP($C32,'COGNOS Data'!$A:$F,4,0)</f>
        <v>407073950.49000001</v>
      </c>
      <c r="F32" s="94"/>
      <c r="G32" s="95">
        <f>VLOOKUP($C32,'COGNOS Data'!$A:$F,5,0)</f>
        <v>0</v>
      </c>
      <c r="H32" s="94">
        <f>IFERROR(VLOOKUP($C32,'COGNOS Data'!$I$5:$U$24,MATCH(Summary!H$26,'COGNOS Data'!$I$5:$U$5,0),0),0)</f>
        <v>0</v>
      </c>
      <c r="I32" s="94">
        <f>IFERROR(VLOOKUP($C32,'COGNOS Data'!$I$5:$U$24,MATCH(Summary!I$26,'COGNOS Data'!$I$5:$U$5,0),0),0)</f>
        <v>0</v>
      </c>
      <c r="J32" s="94">
        <f>IFERROR(VLOOKUP($C32,'COGNOS Data'!$I$5:$U$24,MATCH(Summary!J$26,'COGNOS Data'!$I$5:$U$5,0),0),0)</f>
        <v>0</v>
      </c>
      <c r="K32" s="94">
        <f>IFERROR(VLOOKUP($C32,'COGNOS Data'!$I$5:$U$24,MATCH(Summary!K$26,'COGNOS Data'!$I$5:$U$5,0),0),0)</f>
        <v>2074728.59</v>
      </c>
      <c r="L32" s="94">
        <f>IFERROR(VLOOKUP($C32,'COGNOS Data'!$I$5:$U$24,MATCH(Summary!L$26,'COGNOS Data'!$I$5:$U$5,0),0),0)</f>
        <v>23557720.710000001</v>
      </c>
      <c r="M32" s="94">
        <f>IFERROR(VLOOKUP($C32,'COGNOS Data'!$I$5:$U$24,MATCH(Summary!M$26,'COGNOS Data'!$I$5:$U$5,0),0),0)</f>
        <v>1532.32</v>
      </c>
      <c r="N32" s="94">
        <f>IFERROR(VLOOKUP($C32,'COGNOS Data'!$I$5:$U$24,MATCH(Summary!N$26,'COGNOS Data'!$I$5:$U$5,0),0),0)</f>
        <v>0</v>
      </c>
      <c r="O32" s="94">
        <f>IFERROR(VLOOKUP($C32,'COGNOS Data'!$I$5:$U$24,MATCH(Summary!O$26,'COGNOS Data'!$I$5:$U$5,0),0),0)</f>
        <v>213931.8</v>
      </c>
      <c r="P32" s="94">
        <f>IFERROR(VLOOKUP($C32,'COGNOS Data'!$I$5:$U$24,MATCH(Summary!P$26,'COGNOS Data'!$I$5:$U$5,0),0),0)</f>
        <v>0</v>
      </c>
      <c r="Q32" s="94">
        <f>IFERROR(VLOOKUP($C32,'COGNOS Data'!$I$5:$U$24,MATCH(Summary!Q$26,'COGNOS Data'!$I$5:$U$5,0),0),0)</f>
        <v>0</v>
      </c>
      <c r="R32" s="94">
        <f>IFERROR(VLOOKUP($C32,'COGNOS Data'!$I$5:$U$24,MATCH(Summary!R$26,'COGNOS Data'!$I$5:$U$5,0),0),0)</f>
        <v>36764143.990000002</v>
      </c>
      <c r="S32" s="94">
        <f>IFERROR(VLOOKUP($C32,'COGNOS Data'!$I$5:$U$24,MATCH(Summary!S$26,'COGNOS Data'!$I$5:$U$5,0),0),0)</f>
        <v>318298.88</v>
      </c>
      <c r="T32" s="94">
        <f>IFERROR(VLOOKUP($C32,'COGNOS Data'!$I$5:$U$24,MATCH(Summary!T$26,'COGNOS Data'!$I$5:$U$5,0),0),0)</f>
        <v>0</v>
      </c>
      <c r="U32" s="94">
        <f>IFERROR(VLOOKUP($C32,'COGNOS Data'!$I$5:$U$24,MATCH(Summary!U$26,'COGNOS Data'!$I$5:$U$5,0),0),0)</f>
        <v>0</v>
      </c>
      <c r="V32" s="94">
        <f>IFERROR(VLOOKUP($C32,'COGNOS Data'!$I$5:$U$24,MATCH(Summary!V$26,'COGNOS Data'!$I$5:$U$5,0),0),0)</f>
        <v>3313.49</v>
      </c>
      <c r="W32" s="95">
        <f>SUMIFS('COGNOS Data'!F:F,'COGNOS Data'!A:A,Summary!C32)</f>
        <v>62933669.780000009</v>
      </c>
      <c r="X32" s="95">
        <f t="shared" si="13"/>
        <v>62933669.780000009</v>
      </c>
      <c r="Y32" s="18">
        <f t="shared" si="14"/>
        <v>0</v>
      </c>
    </row>
    <row r="33" spans="2:25" s="55" customFormat="1" ht="15.75" hidden="1" outlineLevel="1" thickBot="1" x14ac:dyDescent="0.3">
      <c r="B33" s="330"/>
      <c r="C33" s="98">
        <v>2011</v>
      </c>
      <c r="D33" s="94">
        <f>VLOOKUP($C33,'COGNOS Data'!$A:$F,3,0)</f>
        <v>4988007891.8699999</v>
      </c>
      <c r="E33" s="94">
        <f>VLOOKUP($C33,'COGNOS Data'!$A:$F,4,0)</f>
        <v>434415889.69</v>
      </c>
      <c r="F33" s="94"/>
      <c r="G33" s="95">
        <f>VLOOKUP($C33,'COGNOS Data'!$A:$F,5,0)</f>
        <v>0</v>
      </c>
      <c r="H33" s="94">
        <f>IFERROR(VLOOKUP($C33,'COGNOS Data'!$I$5:$U$24,MATCH(Summary!H$26,'COGNOS Data'!$I$5:$U$5,0),0),0)</f>
        <v>0</v>
      </c>
      <c r="I33" s="94">
        <f>IFERROR(VLOOKUP($C33,'COGNOS Data'!$I$5:$U$24,MATCH(Summary!I$26,'COGNOS Data'!$I$5:$U$5,0),0),0)</f>
        <v>0</v>
      </c>
      <c r="J33" s="94">
        <f>IFERROR(VLOOKUP($C33,'COGNOS Data'!$I$5:$U$24,MATCH(Summary!J$26,'COGNOS Data'!$I$5:$U$5,0),0),0)</f>
        <v>0</v>
      </c>
      <c r="K33" s="94">
        <f>IFERROR(VLOOKUP($C33,'COGNOS Data'!$I$5:$U$24,MATCH(Summary!K$26,'COGNOS Data'!$I$5:$U$5,0),0),0)</f>
        <v>1280195.29</v>
      </c>
      <c r="L33" s="94">
        <f>IFERROR(VLOOKUP($C33,'COGNOS Data'!$I$5:$U$24,MATCH(Summary!L$26,'COGNOS Data'!$I$5:$U$5,0),0),0)</f>
        <v>27089175.260000002</v>
      </c>
      <c r="M33" s="94">
        <f>IFERROR(VLOOKUP($C33,'COGNOS Data'!$I$5:$U$24,MATCH(Summary!M$26,'COGNOS Data'!$I$5:$U$5,0),0),0)</f>
        <v>212782.48</v>
      </c>
      <c r="N33" s="94">
        <f>IFERROR(VLOOKUP($C33,'COGNOS Data'!$I$5:$U$24,MATCH(Summary!N$26,'COGNOS Data'!$I$5:$U$5,0),0),0)</f>
        <v>0</v>
      </c>
      <c r="O33" s="94">
        <f>IFERROR(VLOOKUP($C33,'COGNOS Data'!$I$5:$U$24,MATCH(Summary!O$26,'COGNOS Data'!$I$5:$U$5,0),0),0)</f>
        <v>1131064.8</v>
      </c>
      <c r="P33" s="94">
        <f>IFERROR(VLOOKUP($C33,'COGNOS Data'!$I$5:$U$24,MATCH(Summary!P$26,'COGNOS Data'!$I$5:$U$5,0),0),0)</f>
        <v>0</v>
      </c>
      <c r="Q33" s="94">
        <f>IFERROR(VLOOKUP($C33,'COGNOS Data'!$I$5:$U$24,MATCH(Summary!Q$26,'COGNOS Data'!$I$5:$U$5,0),0),0)</f>
        <v>0</v>
      </c>
      <c r="R33" s="94">
        <f>IFERROR(VLOOKUP($C33,'COGNOS Data'!$I$5:$U$24,MATCH(Summary!R$26,'COGNOS Data'!$I$5:$U$5,0),0),0)</f>
        <v>32965488.02</v>
      </c>
      <c r="S33" s="94">
        <f>IFERROR(VLOOKUP($C33,'COGNOS Data'!$I$5:$U$24,MATCH(Summary!S$26,'COGNOS Data'!$I$5:$U$5,0),0),0)</f>
        <v>346004.7</v>
      </c>
      <c r="T33" s="94">
        <f>IFERROR(VLOOKUP($C33,'COGNOS Data'!$I$5:$U$24,MATCH(Summary!T$26,'COGNOS Data'!$I$5:$U$5,0),0),0)</f>
        <v>0</v>
      </c>
      <c r="U33" s="94">
        <f>IFERROR(VLOOKUP($C33,'COGNOS Data'!$I$5:$U$24,MATCH(Summary!U$26,'COGNOS Data'!$I$5:$U$5,0),0),0)</f>
        <v>0</v>
      </c>
      <c r="V33" s="94">
        <f>IFERROR(VLOOKUP($C33,'COGNOS Data'!$I$5:$U$24,MATCH(Summary!V$26,'COGNOS Data'!$I$5:$U$5,0),0),0)</f>
        <v>58</v>
      </c>
      <c r="W33" s="95">
        <f>SUMIFS('COGNOS Data'!F:F,'COGNOS Data'!A:A,Summary!C33)</f>
        <v>63024768.549999997</v>
      </c>
      <c r="X33" s="95">
        <f t="shared" si="13"/>
        <v>63024768.549999997</v>
      </c>
      <c r="Y33" s="18">
        <f t="shared" si="14"/>
        <v>0</v>
      </c>
    </row>
    <row r="34" spans="2:25" s="55" customFormat="1" ht="15.75" hidden="1" outlineLevel="1" thickBot="1" x14ac:dyDescent="0.3">
      <c r="B34" s="330"/>
      <c r="C34" s="98">
        <v>2012</v>
      </c>
      <c r="D34" s="94">
        <f>VLOOKUP($C34,'COGNOS Data'!$A:$F,3,0)</f>
        <v>5113108047.9899998</v>
      </c>
      <c r="E34" s="94">
        <f>VLOOKUP($C34,'COGNOS Data'!$A:$F,4,0)</f>
        <v>448832810.55000001</v>
      </c>
      <c r="F34" s="94"/>
      <c r="G34" s="95">
        <f>VLOOKUP($C34,'COGNOS Data'!$A:$F,5,0)</f>
        <v>0</v>
      </c>
      <c r="H34" s="94">
        <f>IFERROR(VLOOKUP($C34,'COGNOS Data'!$I$5:$U$24,MATCH(Summary!H$26,'COGNOS Data'!$I$5:$U$5,0),0),0)</f>
        <v>0</v>
      </c>
      <c r="I34" s="94">
        <f>IFERROR(VLOOKUP($C34,'COGNOS Data'!$I$5:$U$24,MATCH(Summary!I$26,'COGNOS Data'!$I$5:$U$5,0),0),0)</f>
        <v>0</v>
      </c>
      <c r="J34" s="94">
        <f>IFERROR(VLOOKUP($C34,'COGNOS Data'!$I$5:$U$24,MATCH(Summary!J$26,'COGNOS Data'!$I$5:$U$5,0),0),0)</f>
        <v>0</v>
      </c>
      <c r="K34" s="94">
        <f>IFERROR(VLOOKUP($C34,'COGNOS Data'!$I$5:$U$24,MATCH(Summary!K$26,'COGNOS Data'!$I$5:$U$5,0),0),0)</f>
        <v>1164470.1599999999</v>
      </c>
      <c r="L34" s="94">
        <f>IFERROR(VLOOKUP($C34,'COGNOS Data'!$I$5:$U$24,MATCH(Summary!L$26,'COGNOS Data'!$I$5:$U$5,0),0),0)</f>
        <v>29691526.02</v>
      </c>
      <c r="M34" s="94">
        <f>IFERROR(VLOOKUP($C34,'COGNOS Data'!$I$5:$U$24,MATCH(Summary!M$26,'COGNOS Data'!$I$5:$U$5,0),0),0)</f>
        <v>142063.82</v>
      </c>
      <c r="N34" s="94">
        <f>IFERROR(VLOOKUP($C34,'COGNOS Data'!$I$5:$U$24,MATCH(Summary!N$26,'COGNOS Data'!$I$5:$U$5,0),0),0)</f>
        <v>0</v>
      </c>
      <c r="O34" s="94">
        <f>IFERROR(VLOOKUP($C34,'COGNOS Data'!$I$5:$U$24,MATCH(Summary!O$26,'COGNOS Data'!$I$5:$U$5,0),0),0)</f>
        <v>47633.25</v>
      </c>
      <c r="P34" s="94">
        <f>IFERROR(VLOOKUP($C34,'COGNOS Data'!$I$5:$U$24,MATCH(Summary!P$26,'COGNOS Data'!$I$5:$U$5,0),0),0)</f>
        <v>0</v>
      </c>
      <c r="Q34" s="94">
        <f>IFERROR(VLOOKUP($C34,'COGNOS Data'!$I$5:$U$24,MATCH(Summary!Q$26,'COGNOS Data'!$I$5:$U$5,0),0),0)</f>
        <v>0</v>
      </c>
      <c r="R34" s="94">
        <f>IFERROR(VLOOKUP($C34,'COGNOS Data'!$I$5:$U$24,MATCH(Summary!R$26,'COGNOS Data'!$I$5:$U$5,0),0),0)</f>
        <v>30526825.02</v>
      </c>
      <c r="S34" s="94">
        <f>IFERROR(VLOOKUP($C34,'COGNOS Data'!$I$5:$U$24,MATCH(Summary!S$26,'COGNOS Data'!$I$5:$U$5,0),0),0)</f>
        <v>34450</v>
      </c>
      <c r="T34" s="94">
        <f>IFERROR(VLOOKUP($C34,'COGNOS Data'!$I$5:$U$24,MATCH(Summary!T$26,'COGNOS Data'!$I$5:$U$5,0),0),0)</f>
        <v>0</v>
      </c>
      <c r="U34" s="94">
        <f>IFERROR(VLOOKUP($C34,'COGNOS Data'!$I$5:$U$24,MATCH(Summary!U$26,'COGNOS Data'!$I$5:$U$5,0),0),0)</f>
        <v>0</v>
      </c>
      <c r="V34" s="94">
        <f>IFERROR(VLOOKUP($C34,'COGNOS Data'!$I$5:$U$24,MATCH(Summary!V$26,'COGNOS Data'!$I$5:$U$5,0),0),0)</f>
        <v>0</v>
      </c>
      <c r="W34" s="95">
        <f>SUMIFS('COGNOS Data'!F:F,'COGNOS Data'!A:A,Summary!C34)</f>
        <v>61606968.269999996</v>
      </c>
      <c r="X34" s="95">
        <f t="shared" si="13"/>
        <v>61606968.269999996</v>
      </c>
      <c r="Y34" s="18">
        <f t="shared" si="14"/>
        <v>0</v>
      </c>
    </row>
    <row r="35" spans="2:25" s="55" customFormat="1" ht="15.75" collapsed="1" thickBot="1" x14ac:dyDescent="0.3">
      <c r="B35" s="331"/>
      <c r="C35" s="136">
        <v>2013</v>
      </c>
      <c r="D35" s="94">
        <f>VLOOKUP($C35,'COGNOS Data'!$A:$F,3,0)</f>
        <v>5111331229.8400002</v>
      </c>
      <c r="E35" s="94">
        <f>VLOOKUP($C35,'COGNOS Data'!$A:$F,4,0)</f>
        <v>442365887.73000002</v>
      </c>
      <c r="F35" s="94"/>
      <c r="G35" s="95">
        <f>VLOOKUP($C35,'COGNOS Data'!$A:$F,5,0)</f>
        <v>7444824.2800000003</v>
      </c>
      <c r="H35" s="94">
        <f>IFERROR(VLOOKUP($C35,'COGNOS Data'!$I$5:$U$24,MATCH(Summary!H$26,'COGNOS Data'!$I$5:$U$5,0),0),0)</f>
        <v>0</v>
      </c>
      <c r="I35" s="94">
        <f>IFERROR(VLOOKUP($C35,'COGNOS Data'!$I$5:$U$24,MATCH(Summary!I$26,'COGNOS Data'!$I$5:$U$5,0),0),0)</f>
        <v>0</v>
      </c>
      <c r="J35" s="94">
        <f>IFERROR(VLOOKUP($C35,'COGNOS Data'!$I$5:$U$24,MATCH(Summary!J$26,'COGNOS Data'!$I$5:$U$5,0),0),0)</f>
        <v>0</v>
      </c>
      <c r="K35" s="94">
        <f>IFERROR(VLOOKUP($C35,'COGNOS Data'!$I$5:$U$24,MATCH(Summary!K$26,'COGNOS Data'!$I$5:$U$5,0),0),0)</f>
        <v>1287715.49</v>
      </c>
      <c r="L35" s="94">
        <f>IFERROR(VLOOKUP($C35,'COGNOS Data'!$I$5:$U$24,MATCH(Summary!L$26,'COGNOS Data'!$I$5:$U$5,0),0),0)</f>
        <v>34318658.659999996</v>
      </c>
      <c r="M35" s="94">
        <f>IFERROR(VLOOKUP($C35,'COGNOS Data'!$I$5:$U$24,MATCH(Summary!M$26,'COGNOS Data'!$I$5:$U$5,0),0),0)</f>
        <v>229925.7</v>
      </c>
      <c r="N35" s="94">
        <f>IFERROR(VLOOKUP($C35,'COGNOS Data'!$I$5:$U$24,MATCH(Summary!N$26,'COGNOS Data'!$I$5:$U$5,0),0),0)</f>
        <v>0</v>
      </c>
      <c r="O35" s="94">
        <f>IFERROR(VLOOKUP($C35,'COGNOS Data'!$I$5:$U$24,MATCH(Summary!O$26,'COGNOS Data'!$I$5:$U$5,0),0),0)</f>
        <v>80.25</v>
      </c>
      <c r="P35" s="94">
        <f>IFERROR(VLOOKUP($C35,'COGNOS Data'!$I$5:$U$24,MATCH(Summary!P$26,'COGNOS Data'!$I$5:$U$5,0),0),0)</f>
        <v>0</v>
      </c>
      <c r="Q35" s="94">
        <f>IFERROR(VLOOKUP($C35,'COGNOS Data'!$I$5:$U$24,MATCH(Summary!Q$26,'COGNOS Data'!$I$5:$U$5,0),0),0)</f>
        <v>0</v>
      </c>
      <c r="R35" s="94">
        <f>IFERROR(VLOOKUP($C35,'COGNOS Data'!$I$5:$U$24,MATCH(Summary!R$26,'COGNOS Data'!$I$5:$U$5,0),0),0)</f>
        <v>25502490.579999998</v>
      </c>
      <c r="S35" s="94">
        <f>IFERROR(VLOOKUP($C35,'COGNOS Data'!$I$5:$U$24,MATCH(Summary!S$26,'COGNOS Data'!$I$5:$U$5,0),0),0)</f>
        <v>150.01</v>
      </c>
      <c r="T35" s="94">
        <f>IFERROR(VLOOKUP($C35,'COGNOS Data'!$I$5:$U$24,MATCH(Summary!T$26,'COGNOS Data'!$I$5:$U$5,0),0),0)</f>
        <v>0</v>
      </c>
      <c r="U35" s="94">
        <f>IFERROR(VLOOKUP($C35,'COGNOS Data'!$I$5:$U$24,MATCH(Summary!U$26,'COGNOS Data'!$I$5:$U$5,0),0),0)</f>
        <v>0</v>
      </c>
      <c r="V35" s="94">
        <f>IFERROR(VLOOKUP($C35,'COGNOS Data'!$I$5:$U$24,MATCH(Summary!V$26,'COGNOS Data'!$I$5:$U$5,0),0),0)</f>
        <v>0</v>
      </c>
      <c r="W35" s="95">
        <f>SUMIFS('COGNOS Data'!F:F,'COGNOS Data'!A:A,Summary!C35)</f>
        <v>61339020.689999998</v>
      </c>
      <c r="X35" s="95">
        <f t="shared" si="13"/>
        <v>68783844.969999999</v>
      </c>
      <c r="Y35" s="18">
        <f t="shared" si="14"/>
        <v>0</v>
      </c>
    </row>
    <row r="36" spans="2:25" ht="15.75" thickBot="1" x14ac:dyDescent="0.3">
      <c r="B36" s="329" t="s">
        <v>160</v>
      </c>
      <c r="C36" s="137">
        <v>2014</v>
      </c>
      <c r="D36" s="27">
        <f>VLOOKUP($C36,'COGNOS Data'!$A:$F,3,0)</f>
        <v>5177345265.75</v>
      </c>
      <c r="E36" s="27">
        <f>VLOOKUP($C36,'COGNOS Data'!$A:$F,4,0)</f>
        <v>431223118.99000001</v>
      </c>
      <c r="F36" s="27"/>
      <c r="G36" s="29">
        <f>VLOOKUP($C36,'COGNOS Data'!$A:$F,5,0)</f>
        <v>11102225.42</v>
      </c>
      <c r="H36" s="28">
        <f>IFERROR(VLOOKUP($C36,'Dacom Data'!$Q$19:$AB$26,MATCH(CONCATENATE("sum of ",Summary!H$26),'Dacom Data'!$Q$19:$AB$19,0),0),0)</f>
        <v>24743868.59</v>
      </c>
      <c r="I36" s="28">
        <f>IFERROR(VLOOKUP($C36,'Dacom Data'!$Q$19:$AB$26,MATCH(CONCATENATE("sum of ",Summary!I$26),'Dacom Data'!$Q$19:$AB$19,0),0),0)</f>
        <v>0</v>
      </c>
      <c r="J36" s="28">
        <f>IFERROR(VLOOKUP($C36,'Dacom Data'!$Q$19:$AB$26,MATCH(CONCATENATE("sum of ",Summary!J$26),'Dacom Data'!$Q$19:$AB$19,0),0),0)</f>
        <v>888932.95000000019</v>
      </c>
      <c r="K36" s="28">
        <f>IFERROR(VLOOKUP($C36,'Dacom Data'!$Q$19:$AB$26,MATCH(CONCATENATE("sum of ",Summary!K$26),'Dacom Data'!$Q$19:$AB$19,0),0),0)</f>
        <v>2992002.5799999996</v>
      </c>
      <c r="L36" s="28">
        <f>IFERROR(VLOOKUP($C36,'Dacom Data'!$Q$19:$AB$26,MATCH(CONCATENATE("sum of ",Summary!L$26),'Dacom Data'!$Q$19:$AB$19,0),0),0)</f>
        <v>44122042.634999998</v>
      </c>
      <c r="M36" s="28">
        <f>IFERROR(VLOOKUP($C36,'Dacom Data'!$Q$19:$AB$26,MATCH(CONCATENATE("sum of ",Summary!M$26),'Dacom Data'!$Q$19:$AB$19,0),0),0)</f>
        <v>70556.784999999989</v>
      </c>
      <c r="N36" s="28">
        <f>IFERROR(VLOOKUP($C36,'Dacom Data'!$Q$19:$AB$26,MATCH(CONCATENATE("sum of ",Summary!N$26),'Dacom Data'!$Q$19:$AB$19,0),0),0)</f>
        <v>0</v>
      </c>
      <c r="O36" s="28">
        <f>IFERROR(VLOOKUP($C36,'Dacom Data'!$Q$19:$AB$26,MATCH(CONCATENATE("sum of ",Summary!O$26),'Dacom Data'!$Q$19:$AB$19,0),0),0)</f>
        <v>0</v>
      </c>
      <c r="P36" s="28">
        <f>IFERROR(VLOOKUP($C36,'Dacom Data'!$Q$19:$AB$26,MATCH(CONCATENATE("sum of ",Summary!P$26),'Dacom Data'!$Q$19:$AB$19,0),0),0)</f>
        <v>0</v>
      </c>
      <c r="Q36" s="28">
        <f>IFERROR(VLOOKUP($C36,'Dacom Data'!$Q$19:$AB$26,MATCH(CONCATENATE("sum of ",Summary!Q$26),'Dacom Data'!$Q$19:$AB$19,0),0),0)</f>
        <v>0</v>
      </c>
      <c r="R36" s="28">
        <f>IFERROR(VLOOKUP($C36,'Dacom Data'!$Q$19:$AB$26,MATCH(CONCATENATE("sum of ",Summary!R$26),'Dacom Data'!$Q$19:$AB$19,0),0),0)</f>
        <v>0</v>
      </c>
      <c r="S36" s="28">
        <f>IFERROR(VLOOKUP($C36,'Dacom Data'!$Q$19:$AB$26,MATCH(CONCATENATE("sum of ",Summary!S$26),'Dacom Data'!$Q$19:$AB$19,0),0),0)</f>
        <v>0</v>
      </c>
      <c r="T36" s="28">
        <f>IFERROR(VLOOKUP($C36,'Dacom Data'!$Q$19:$AB$26,MATCH(CONCATENATE("sum of ",Summary!T$26),'Dacom Data'!$Q$19:$AB$19,0),0),0)</f>
        <v>0</v>
      </c>
      <c r="U36" s="28">
        <f>IFERROR(VLOOKUP($C36,'Dacom Data'!$Q$19:$AB$26,MATCH(CONCATENATE("sum of ",Summary!U$26),'Dacom Data'!$Q$19:$AB$19,0),0),0)</f>
        <v>0</v>
      </c>
      <c r="V36" s="28">
        <f>IFERROR(VLOOKUP($C36,'Dacom Data'!$Q$19:$AB$26,MATCH(CONCATENATE("sum of ",Summary!V$26),'Dacom Data'!$Q$19:$AB$19,0),0),0)</f>
        <v>0</v>
      </c>
      <c r="W36" s="29">
        <f>SUM(H36:V36)</f>
        <v>72817403.539999992</v>
      </c>
      <c r="X36" s="29">
        <f t="shared" ref="X36:X41" si="15">+G36+W36</f>
        <v>83919628.959999993</v>
      </c>
      <c r="Y36" s="96"/>
    </row>
    <row r="37" spans="2:25" ht="15.75" thickBot="1" x14ac:dyDescent="0.3">
      <c r="B37" s="330"/>
      <c r="C37" s="137">
        <v>2015</v>
      </c>
      <c r="D37" s="27">
        <f>VLOOKUP($C37,'COGNOS Data'!$A:$F,3,0)</f>
        <v>5402537959.9499998</v>
      </c>
      <c r="E37" s="27">
        <f>VLOOKUP($C37,'COGNOS Data'!$A:$F,4,0)</f>
        <v>446278627.00999999</v>
      </c>
      <c r="F37" s="27"/>
      <c r="G37" s="29">
        <f>VLOOKUP($C37,'COGNOS Data'!$A:$F,5,0)</f>
        <v>12603982.529999999</v>
      </c>
      <c r="H37" s="28">
        <f>IFERROR(VLOOKUP($C37,'Dacom Data'!$Q$19:$AB$26,MATCH(CONCATENATE("sum of ",Summary!H$26),'Dacom Data'!$Q$19:$AB$19,0),0),0)</f>
        <v>25889559.420000002</v>
      </c>
      <c r="I37" s="28">
        <f>IFERROR(VLOOKUP($C37,'Dacom Data'!$Q$19:$AB$26,MATCH(CONCATENATE("sum of ",Summary!I$26),'Dacom Data'!$Q$19:$AB$19,0),0),0)</f>
        <v>0</v>
      </c>
      <c r="J37" s="28">
        <f>IFERROR(VLOOKUP($C37,'Dacom Data'!$Q$19:$AB$26,MATCH(CONCATENATE("sum of ",Summary!J$26),'Dacom Data'!$Q$19:$AB$19,0),0),0)</f>
        <v>849687.19000000006</v>
      </c>
      <c r="K37" s="28">
        <f>IFERROR(VLOOKUP($C37,'Dacom Data'!$Q$19:$AB$26,MATCH(CONCATENATE("sum of ",Summary!K$26),'Dacom Data'!$Q$19:$AB$19,0),0),0)</f>
        <v>2786345.59</v>
      </c>
      <c r="L37" s="28">
        <f>IFERROR(VLOOKUP($C37,'Dacom Data'!$Q$19:$AB$26,MATCH(CONCATENATE("sum of ",Summary!L$26),'Dacom Data'!$Q$19:$AB$19,0),0),0)</f>
        <v>46710591.099999994</v>
      </c>
      <c r="M37" s="28">
        <f>IFERROR(VLOOKUP($C37,'Dacom Data'!$Q$19:$AB$26,MATCH(CONCATENATE("sum of ",Summary!M$26),'Dacom Data'!$Q$19:$AB$19,0),0),0)</f>
        <v>376000.33999999997</v>
      </c>
      <c r="N37" s="28">
        <f>IFERROR(VLOOKUP($C37,'Dacom Data'!$Q$19:$AB$26,MATCH(CONCATENATE("sum of ",Summary!N$26),'Dacom Data'!$Q$19:$AB$19,0),0),0)</f>
        <v>0</v>
      </c>
      <c r="O37" s="28">
        <f>IFERROR(VLOOKUP($C37,'Dacom Data'!$Q$19:$AB$26,MATCH(CONCATENATE("sum of ",Summary!O$26),'Dacom Data'!$Q$19:$AB$19,0),0),0)</f>
        <v>150044.60999999999</v>
      </c>
      <c r="P37" s="28">
        <f>IFERROR(VLOOKUP($C37,'Dacom Data'!$Q$19:$AB$26,MATCH(CONCATENATE("sum of ",Summary!P$26),'Dacom Data'!$Q$19:$AB$19,0),0),0)</f>
        <v>0</v>
      </c>
      <c r="Q37" s="28">
        <f>IFERROR(VLOOKUP($C37,'Dacom Data'!$Q$19:$AB$26,MATCH(CONCATENATE("sum of ",Summary!Q$26),'Dacom Data'!$Q$19:$AB$19,0),0),0)</f>
        <v>0</v>
      </c>
      <c r="R37" s="28">
        <f>IFERROR(VLOOKUP($C37,'Dacom Data'!$Q$19:$AB$26,MATCH(CONCATENATE("sum of ",Summary!R$26),'Dacom Data'!$Q$19:$AB$19,0),0),0)</f>
        <v>0</v>
      </c>
      <c r="S37" s="28">
        <f>IFERROR(VLOOKUP($C37,'Dacom Data'!$Q$19:$AB$26,MATCH(CONCATENATE("sum of ",Summary!S$26),'Dacom Data'!$Q$19:$AB$19,0),0),0)</f>
        <v>0</v>
      </c>
      <c r="T37" s="28">
        <f>IFERROR(VLOOKUP($C37,'Dacom Data'!$Q$19:$AB$26,MATCH(CONCATENATE("sum of ",Summary!T$26),'Dacom Data'!$Q$19:$AB$19,0),0),0)</f>
        <v>0</v>
      </c>
      <c r="U37" s="28">
        <f>IFERROR(VLOOKUP($C37,'Dacom Data'!$Q$19:$AB$26,MATCH(CONCATENATE("sum of ",Summary!U$26),'Dacom Data'!$Q$19:$AB$19,0),0),0)</f>
        <v>0</v>
      </c>
      <c r="V37" s="28">
        <f>IFERROR(VLOOKUP($C37,'Dacom Data'!$Q$19:$AB$26,MATCH(CONCATENATE("sum of ",Summary!V$26),'Dacom Data'!$Q$19:$AB$19,0),0),0)</f>
        <v>0</v>
      </c>
      <c r="W37" s="29">
        <f t="shared" ref="W37:W41" si="16">SUM(H37:V37)</f>
        <v>76762228.25</v>
      </c>
      <c r="X37" s="29">
        <f t="shared" si="15"/>
        <v>89366210.780000001</v>
      </c>
      <c r="Y37" s="96"/>
    </row>
    <row r="38" spans="2:25" ht="15.75" thickBot="1" x14ac:dyDescent="0.3">
      <c r="B38" s="330"/>
      <c r="C38" s="137">
        <v>2016</v>
      </c>
      <c r="D38" s="27">
        <f>VLOOKUP($C38,'COGNOS Data'!$A:$F,3,0)</f>
        <v>5514933568.9899998</v>
      </c>
      <c r="E38" s="27">
        <f>VLOOKUP($C38,'COGNOS Data'!$A:$F,4,0)</f>
        <v>459432566.57999998</v>
      </c>
      <c r="F38" s="27"/>
      <c r="G38" s="29">
        <f>VLOOKUP($C38,'COGNOS Data'!$A:$F,5,0)</f>
        <v>12624702.859999999</v>
      </c>
      <c r="H38" s="28">
        <f>IFERROR(VLOOKUP($C38,'Dacom Data'!$Q$19:$AB$26,MATCH(CONCATENATE("sum of ",Summary!H$26),'Dacom Data'!$Q$19:$AB$19,0),0),0)</f>
        <v>25141504.650000002</v>
      </c>
      <c r="I38" s="28">
        <f>IFERROR(VLOOKUP($C38,'Dacom Data'!$Q$19:$AB$26,MATCH(CONCATENATE("sum of ",Summary!I$26),'Dacom Data'!$Q$19:$AB$19,0),0),0)</f>
        <v>0</v>
      </c>
      <c r="J38" s="28">
        <f>IFERROR(VLOOKUP($C38,'Dacom Data'!$Q$19:$AB$26,MATCH(CONCATENATE("sum of ",Summary!J$26),'Dacom Data'!$Q$19:$AB$19,0),0),0)</f>
        <v>819669.81000000017</v>
      </c>
      <c r="K38" s="28">
        <f>IFERROR(VLOOKUP($C38,'Dacom Data'!$Q$19:$AB$26,MATCH(CONCATENATE("sum of ",Summary!K$26),'Dacom Data'!$Q$19:$AB$19,0),0),0)</f>
        <v>2986128.7900000005</v>
      </c>
      <c r="L38" s="28">
        <f>IFERROR(VLOOKUP($C38,'Dacom Data'!$Q$19:$AB$26,MATCH(CONCATENATE("sum of ",Summary!L$26),'Dacom Data'!$Q$19:$AB$19,0),0),0)</f>
        <v>46065714.960000008</v>
      </c>
      <c r="M38" s="28">
        <f>IFERROR(VLOOKUP($C38,'Dacom Data'!$Q$19:$AB$26,MATCH(CONCATENATE("sum of ",Summary!M$26),'Dacom Data'!$Q$19:$AB$19,0),0),0)</f>
        <v>1464424.1600000001</v>
      </c>
      <c r="N38" s="28">
        <f>IFERROR(VLOOKUP($C38,'Dacom Data'!$Q$19:$AB$26,MATCH(CONCATENATE("sum of ",Summary!N$26),'Dacom Data'!$Q$19:$AB$19,0),0),0)</f>
        <v>0</v>
      </c>
      <c r="O38" s="28">
        <f>IFERROR(VLOOKUP($C38,'Dacom Data'!$Q$19:$AB$26,MATCH(CONCATENATE("sum of ",Summary!O$26),'Dacom Data'!$Q$19:$AB$19,0),0),0)</f>
        <v>631177.99</v>
      </c>
      <c r="P38" s="28">
        <f>IFERROR(VLOOKUP($C38,'Dacom Data'!$Q$19:$AB$26,MATCH(CONCATENATE("sum of ",Summary!P$26),'Dacom Data'!$Q$19:$AB$19,0),0),0)</f>
        <v>0</v>
      </c>
      <c r="Q38" s="28">
        <f>IFERROR(VLOOKUP($C38,'Dacom Data'!$Q$19:$AB$26,MATCH(CONCATENATE("sum of ",Summary!Q$26),'Dacom Data'!$Q$19:$AB$19,0),0),0)</f>
        <v>0</v>
      </c>
      <c r="R38" s="28">
        <f>IFERROR(VLOOKUP($C38,'Dacom Data'!$Q$19:$AB$26,MATCH(CONCATENATE("sum of ",Summary!R$26),'Dacom Data'!$Q$19:$AB$19,0),0),0)</f>
        <v>0</v>
      </c>
      <c r="S38" s="28">
        <f>IFERROR(VLOOKUP($C38,'Dacom Data'!$Q$19:$AB$26,MATCH(CONCATENATE("sum of ",Summary!S$26),'Dacom Data'!$Q$19:$AB$19,0),0),0)</f>
        <v>0</v>
      </c>
      <c r="T38" s="28">
        <f>IFERROR(VLOOKUP($C38,'Dacom Data'!$Q$19:$AB$26,MATCH(CONCATENATE("sum of ",Summary!T$26),'Dacom Data'!$Q$19:$AB$19,0),0),0)</f>
        <v>0</v>
      </c>
      <c r="U38" s="28">
        <f>IFERROR(VLOOKUP($C38,'Dacom Data'!$Q$19:$AB$26,MATCH(CONCATENATE("sum of ",Summary!U$26),'Dacom Data'!$Q$19:$AB$19,0),0),0)</f>
        <v>0</v>
      </c>
      <c r="V38" s="28">
        <f>IFERROR(VLOOKUP($C38,'Dacom Data'!$Q$19:$AB$26,MATCH(CONCATENATE("sum of ",Summary!V$26),'Dacom Data'!$Q$19:$AB$19,0),0),0)</f>
        <v>0</v>
      </c>
      <c r="W38" s="29">
        <f t="shared" si="16"/>
        <v>77108620.359999999</v>
      </c>
      <c r="X38" s="29">
        <f t="shared" si="15"/>
        <v>89733323.219999999</v>
      </c>
      <c r="Y38" s="96"/>
    </row>
    <row r="39" spans="2:25" ht="15.75" thickBot="1" x14ac:dyDescent="0.3">
      <c r="B39" s="330"/>
      <c r="C39" s="137">
        <v>2017</v>
      </c>
      <c r="D39" s="27">
        <f>VLOOKUP($C39,'COGNOS Data'!$A:$F,3,0)</f>
        <v>5468326234.6000004</v>
      </c>
      <c r="E39" s="27">
        <f>VLOOKUP($C39,'COGNOS Data'!$A:$F,4,0)</f>
        <v>444962154.55000001</v>
      </c>
      <c r="F39" s="27"/>
      <c r="G39" s="29">
        <f>VLOOKUP($C39,'COGNOS Data'!$A:$F,5,0)</f>
        <v>11221333.98</v>
      </c>
      <c r="H39" s="28">
        <f>IFERROR(VLOOKUP($C39,'Dacom Data'!$Q$19:$AB$26,MATCH(CONCATENATE("sum of ",Summary!H$26),'Dacom Data'!$Q$19:$AB$19,0),0),0)</f>
        <v>22857874.880000003</v>
      </c>
      <c r="I39" s="28">
        <f>IFERROR(VLOOKUP($C39,'Dacom Data'!$Q$19:$AB$26,MATCH(CONCATENATE("sum of ",Summary!I$26),'Dacom Data'!$Q$19:$AB$19,0),0),0)</f>
        <v>0</v>
      </c>
      <c r="J39" s="28">
        <f>IFERROR(VLOOKUP($C39,'Dacom Data'!$Q$19:$AB$26,MATCH(CONCATENATE("sum of ",Summary!J$26),'Dacom Data'!$Q$19:$AB$19,0),0),0)</f>
        <v>821772.76</v>
      </c>
      <c r="K39" s="28">
        <f>IFERROR(VLOOKUP($C39,'Dacom Data'!$Q$19:$AB$26,MATCH(CONCATENATE("sum of ",Summary!K$26),'Dacom Data'!$Q$19:$AB$19,0),0),0)</f>
        <v>2553433.17</v>
      </c>
      <c r="L39" s="28">
        <f>IFERROR(VLOOKUP($C39,'Dacom Data'!$Q$19:$AB$26,MATCH(CONCATENATE("sum of ",Summary!L$26),'Dacom Data'!$Q$19:$AB$19,0),0),0)</f>
        <v>52378458.169999994</v>
      </c>
      <c r="M39" s="28">
        <f>IFERROR(VLOOKUP($C39,'Dacom Data'!$Q$19:$AB$26,MATCH(CONCATENATE("sum of ",Summary!M$26),'Dacom Data'!$Q$19:$AB$19,0),0),0)</f>
        <v>1504659.17</v>
      </c>
      <c r="N39" s="28">
        <f>IFERROR(VLOOKUP($C39,'Dacom Data'!$Q$19:$AB$26,MATCH(CONCATENATE("sum of ",Summary!N$26),'Dacom Data'!$Q$19:$AB$19,0),0),0)</f>
        <v>272588.11</v>
      </c>
      <c r="O39" s="28">
        <f>IFERROR(VLOOKUP($C39,'Dacom Data'!$Q$19:$AB$26,MATCH(CONCATENATE("sum of ",Summary!O$26),'Dacom Data'!$Q$19:$AB$19,0),0),0)</f>
        <v>1023253.4699999999</v>
      </c>
      <c r="P39" s="28">
        <f>IFERROR(VLOOKUP($C39,'Dacom Data'!$Q$19:$AB$26,MATCH(CONCATENATE("sum of ",Summary!P$26),'Dacom Data'!$Q$19:$AB$19,0),0),0)</f>
        <v>0</v>
      </c>
      <c r="Q39" s="28">
        <f>IFERROR(VLOOKUP($C39,'Dacom Data'!$Q$19:$AB$26,MATCH(CONCATENATE("sum of ",Summary!Q$26),'Dacom Data'!$Q$19:$AB$19,0),0),0)</f>
        <v>0</v>
      </c>
      <c r="R39" s="28">
        <f>IFERROR(VLOOKUP($C39,'Dacom Data'!$Q$19:$AB$26,MATCH(CONCATENATE("sum of ",Summary!R$26),'Dacom Data'!$Q$19:$AB$19,0),0),0)</f>
        <v>0</v>
      </c>
      <c r="S39" s="28">
        <f>IFERROR(VLOOKUP($C39,'Dacom Data'!$Q$19:$AB$26,MATCH(CONCATENATE("sum of ",Summary!S$26),'Dacom Data'!$Q$19:$AB$19,0),0),0)</f>
        <v>0</v>
      </c>
      <c r="T39" s="28">
        <f>IFERROR(VLOOKUP($C39,'Dacom Data'!$Q$19:$AB$26,MATCH(CONCATENATE("sum of ",Summary!T$26),'Dacom Data'!$Q$19:$AB$19,0),0),0)</f>
        <v>0</v>
      </c>
      <c r="U39" s="28">
        <f>IFERROR(VLOOKUP($C39,'Dacom Data'!$Q$19:$AB$26,MATCH(CONCATENATE("sum of ",Summary!U$26),'Dacom Data'!$Q$19:$AB$19,0),0),0)</f>
        <v>0</v>
      </c>
      <c r="V39" s="28">
        <f>IFERROR(VLOOKUP($C39,'Dacom Data'!$Q$19:$AB$26,MATCH(CONCATENATE("sum of ",Summary!V$26),'Dacom Data'!$Q$19:$AB$19,0),0),0)</f>
        <v>0</v>
      </c>
      <c r="W39" s="29">
        <f t="shared" si="16"/>
        <v>81412039.729999989</v>
      </c>
      <c r="X39" s="29">
        <f t="shared" si="15"/>
        <v>92633373.709999993</v>
      </c>
      <c r="Y39" s="96"/>
    </row>
    <row r="40" spans="2:25" ht="15.75" thickBot="1" x14ac:dyDescent="0.3">
      <c r="B40" s="330"/>
      <c r="C40" s="137">
        <v>2018</v>
      </c>
      <c r="D40" s="27">
        <f>VLOOKUP($C40,'COGNOS Data'!$A:$F,3,0)</f>
        <v>5551893797.1499996</v>
      </c>
      <c r="E40" s="27">
        <f>VLOOKUP($C40,'COGNOS Data'!$A:$F,4,0)</f>
        <v>445511202.79000002</v>
      </c>
      <c r="F40" s="27"/>
      <c r="G40" s="29">
        <f>VLOOKUP($C40,'COGNOS Data'!$A:$F,5,0)</f>
        <v>11761352.43</v>
      </c>
      <c r="H40" s="28">
        <f>IFERROR(VLOOKUP($C40,'Dacom Data'!$Q$19:$AB$26,MATCH(CONCATENATE("sum of ",Summary!H$26),'Dacom Data'!$Q$19:$AB$19,0),0),0)</f>
        <v>22650779.199999999</v>
      </c>
      <c r="I40" s="28">
        <f>IFERROR(VLOOKUP($C40,'Dacom Data'!$Q$19:$AB$26,MATCH(CONCATENATE("sum of ",Summary!I$26),'Dacom Data'!$Q$19:$AB$19,0),0),0)</f>
        <v>0.04</v>
      </c>
      <c r="J40" s="28">
        <f>IFERROR(VLOOKUP($C40,'Dacom Data'!$Q$19:$AB$26,MATCH(CONCATENATE("sum of ",Summary!J$26),'Dacom Data'!$Q$19:$AB$19,0),0),0)</f>
        <v>759547.15999999992</v>
      </c>
      <c r="K40" s="28">
        <f>IFERROR(VLOOKUP($C40,'Dacom Data'!$Q$19:$AB$26,MATCH(CONCATENATE("sum of ",Summary!K$26),'Dacom Data'!$Q$19:$AB$19,0),0),0)</f>
        <v>1427504.9999999998</v>
      </c>
      <c r="L40" s="28">
        <f>IFERROR(VLOOKUP($C40,'Dacom Data'!$Q$19:$AB$26,MATCH(CONCATENATE("sum of ",Summary!L$26),'Dacom Data'!$Q$19:$AB$19,0),0),0)</f>
        <v>51975553.07</v>
      </c>
      <c r="M40" s="28">
        <f>IFERROR(VLOOKUP($C40,'Dacom Data'!$Q$19:$AB$26,MATCH(CONCATENATE("sum of ",Summary!M$26),'Dacom Data'!$Q$19:$AB$19,0),0),0)</f>
        <v>1177060.4199999997</v>
      </c>
      <c r="N40" s="28">
        <f>IFERROR(VLOOKUP($C40,'Dacom Data'!$Q$19:$AB$26,MATCH(CONCATENATE("sum of ",Summary!N$26),'Dacom Data'!$Q$19:$AB$19,0),0),0)</f>
        <v>2487372.75</v>
      </c>
      <c r="O40" s="28">
        <f>IFERROR(VLOOKUP($C40,'Dacom Data'!$Q$19:$AB$26,MATCH(CONCATENATE("sum of ",Summary!O$26),'Dacom Data'!$Q$19:$AB$19,0),0),0)</f>
        <v>623242.80000000005</v>
      </c>
      <c r="P40" s="28">
        <f>IFERROR(VLOOKUP($C40,'Dacom Data'!$Q$19:$AB$26,MATCH(CONCATENATE("sum of ",Summary!P$26),'Dacom Data'!$Q$19:$AB$19,0),0),0)</f>
        <v>301555</v>
      </c>
      <c r="Q40" s="28">
        <f>IFERROR(VLOOKUP($C40,'Dacom Data'!$Q$19:$AB$26,MATCH(CONCATENATE("sum of ",Summary!Q$26),'Dacom Data'!$Q$19:$AB$19,0),0),0)</f>
        <v>187540</v>
      </c>
      <c r="R40" s="28">
        <f>IFERROR(VLOOKUP($C40,'Dacom Data'!$Q$19:$AB$26,MATCH(CONCATENATE("sum of ",Summary!R$26),'Dacom Data'!$Q$19:$AB$19,0),0),0)</f>
        <v>0</v>
      </c>
      <c r="S40" s="28">
        <f>IFERROR(VLOOKUP($C40,'Dacom Data'!$Q$19:$AB$26,MATCH(CONCATENATE("sum of ",Summary!S$26),'Dacom Data'!$Q$19:$AB$19,0),0),0)</f>
        <v>0</v>
      </c>
      <c r="T40" s="28">
        <f>IFERROR(VLOOKUP($C40,'Dacom Data'!$Q$19:$AB$26,MATCH(CONCATENATE("sum of ",Summary!T$26),'Dacom Data'!$Q$19:$AB$19,0),0),0)</f>
        <v>0</v>
      </c>
      <c r="U40" s="28">
        <f>IFERROR(VLOOKUP($C40,'Dacom Data'!$Q$19:$AB$26,MATCH(CONCATENATE("sum of ",Summary!U$26),'Dacom Data'!$Q$19:$AB$19,0),0),0)</f>
        <v>0</v>
      </c>
      <c r="V40" s="28">
        <f>IFERROR(VLOOKUP($C40,'Dacom Data'!$Q$19:$AB$26,MATCH(CONCATENATE("sum of ",Summary!V$26),'Dacom Data'!$Q$19:$AB$19,0),0),0)</f>
        <v>0</v>
      </c>
      <c r="W40" s="29">
        <f t="shared" si="16"/>
        <v>81590155.439999998</v>
      </c>
      <c r="X40" s="29">
        <f t="shared" si="15"/>
        <v>93351507.870000005</v>
      </c>
      <c r="Y40" s="96"/>
    </row>
    <row r="41" spans="2:25" ht="15.75" thickBot="1" x14ac:dyDescent="0.3">
      <c r="B41" s="330"/>
      <c r="C41" s="137">
        <v>2019</v>
      </c>
      <c r="D41" s="27">
        <f>VLOOKUP($C41,'COGNOS Data'!$A:$F,3,0)</f>
        <v>5851909080.8599997</v>
      </c>
      <c r="E41" s="27">
        <f>VLOOKUP($C41,'COGNOS Data'!$A:$F,4,0)</f>
        <v>459123839.61000001</v>
      </c>
      <c r="F41" s="27"/>
      <c r="G41" s="29">
        <f>VLOOKUP($C41,'COGNOS Data'!$A:$F,5,0)</f>
        <v>12795304.5</v>
      </c>
      <c r="H41" s="28">
        <f>IFERROR(VLOOKUP($C41,'Dacom Data'!$Q$19:$AB$26,MATCH(CONCATENATE("sum of ",Summary!H$26),'Dacom Data'!$Q$19:$AB$19,0),0),0)</f>
        <v>22619373.930000003</v>
      </c>
      <c r="I41" s="28">
        <f>IFERROR(VLOOKUP($C41,'Dacom Data'!$Q$19:$AB$26,MATCH(CONCATENATE("sum of ",Summary!I$26),'Dacom Data'!$Q$19:$AB$19,0),0),0)</f>
        <v>58229.979999999989</v>
      </c>
      <c r="J41" s="28">
        <f>IFERROR(VLOOKUP($C41,'Dacom Data'!$Q$19:$AB$26,MATCH(CONCATENATE("sum of ",Summary!J$26),'Dacom Data'!$Q$19:$AB$19,0),0),0)</f>
        <v>783273.75</v>
      </c>
      <c r="K41" s="28">
        <f>IFERROR(VLOOKUP($C41,'Dacom Data'!$Q$19:$AB$26,MATCH(CONCATENATE("sum of ",Summary!K$26),'Dacom Data'!$Q$19:$AB$19,0),0),0)</f>
        <v>1125856.94</v>
      </c>
      <c r="L41" s="28">
        <f>IFERROR(VLOOKUP($C41,'Dacom Data'!$Q$19:$AB$26,MATCH(CONCATENATE("sum of ",Summary!L$26),'Dacom Data'!$Q$19:$AB$19,0),0),0)</f>
        <v>47592059.719999999</v>
      </c>
      <c r="M41" s="28">
        <f>IFERROR(VLOOKUP($C41,'Dacom Data'!$Q$19:$AB$26,MATCH(CONCATENATE("sum of ",Summary!M$26),'Dacom Data'!$Q$19:$AB$19,0),0),0)</f>
        <v>418367.24</v>
      </c>
      <c r="N41" s="28">
        <f>IFERROR(VLOOKUP($C41,'Dacom Data'!$Q$19:$AB$26,MATCH(CONCATENATE("sum of ",Summary!N$26),'Dacom Data'!$Q$19:$AB$19,0),0),0)</f>
        <v>2927373.8799999994</v>
      </c>
      <c r="O41" s="28">
        <f>IFERROR(VLOOKUP($C41,'Dacom Data'!$Q$19:$AB$26,MATCH(CONCATENATE("sum of ",Summary!O$26),'Dacom Data'!$Q$19:$AB$19,0),0),0)</f>
        <v>278031.09000000003</v>
      </c>
      <c r="P41" s="28">
        <f>IFERROR(VLOOKUP($C41,'Dacom Data'!$Q$19:$AB$26,MATCH(CONCATENATE("sum of ",Summary!P$26),'Dacom Data'!$Q$19:$AB$19,0),0),0)</f>
        <v>549340</v>
      </c>
      <c r="Q41" s="28">
        <f>IFERROR(VLOOKUP($C41,'Dacom Data'!$Q$19:$AB$26,MATCH(CONCATENATE("sum of ",Summary!Q$26),'Dacom Data'!$Q$19:$AB$19,0),0),0)</f>
        <v>0</v>
      </c>
      <c r="R41" s="28">
        <f>IFERROR(VLOOKUP($C41,'Dacom Data'!$Q$19:$AB$26,MATCH(CONCATENATE("sum of ",Summary!R$26),'Dacom Data'!$Q$19:$AB$19,0),0),0)</f>
        <v>0</v>
      </c>
      <c r="S41" s="28">
        <f>IFERROR(VLOOKUP($C41,'Dacom Data'!$Q$19:$AB$26,MATCH(CONCATENATE("sum of ",Summary!S$26),'Dacom Data'!$Q$19:$AB$19,0),0),0)</f>
        <v>0</v>
      </c>
      <c r="T41" s="28">
        <f>IFERROR(VLOOKUP($C41,'Dacom Data'!$Q$19:$AB$26,MATCH(CONCATENATE("sum of ",Summary!T$26),'Dacom Data'!$Q$19:$AB$19,0),0),0)</f>
        <v>0</v>
      </c>
      <c r="U41" s="28">
        <f>IFERROR(VLOOKUP($C41,'Dacom Data'!$Q$19:$AB$26,MATCH(CONCATENATE("sum of ",Summary!U$26),'Dacom Data'!$Q$19:$AB$19,0),0),0)</f>
        <v>0</v>
      </c>
      <c r="V41" s="28">
        <f>IFERROR(VLOOKUP($C41,'Dacom Data'!$Q$19:$AB$26,MATCH(CONCATENATE("sum of ",Summary!V$26),'Dacom Data'!$Q$19:$AB$19,0),0),0)</f>
        <v>0</v>
      </c>
      <c r="W41" s="29">
        <f t="shared" si="16"/>
        <v>76351906.530000001</v>
      </c>
      <c r="X41" s="29">
        <f t="shared" si="15"/>
        <v>89147211.030000001</v>
      </c>
      <c r="Y41" s="96"/>
    </row>
    <row r="42" spans="2:25" s="104" customFormat="1" ht="15.75" thickBot="1" x14ac:dyDescent="0.3">
      <c r="B42" s="330"/>
      <c r="C42" s="137">
        <v>2020</v>
      </c>
      <c r="D42" s="27">
        <f>VLOOKUP($C42,'COGNOS Data'!$A:$F,3,0)</f>
        <v>4460847923.75</v>
      </c>
      <c r="E42" s="27">
        <f>VLOOKUP($C42,'COGNOS Data'!$A:$F,4,0)</f>
        <v>339599506.88</v>
      </c>
      <c r="F42" s="27"/>
      <c r="G42" s="29">
        <f>VLOOKUP($C42,'COGNOS Data'!$A:$F,5,0)</f>
        <v>8680347.8100000005</v>
      </c>
      <c r="H42" s="28">
        <f>IFERROR(VLOOKUP($C42,'Dacom Data'!$Q$19:$AB$26,MATCH(CONCATENATE("sum of ",Summary!H$26),'Dacom Data'!$Q$19:$AB$19,0),0),0)</f>
        <v>15328608.969999999</v>
      </c>
      <c r="I42" s="28">
        <f>IFERROR(VLOOKUP($C42,'Dacom Data'!$Q$19:$AB$26,MATCH(CONCATENATE("sum of ",Summary!I$26),'Dacom Data'!$Q$19:$AB$19,0),0),0)</f>
        <v>26.98</v>
      </c>
      <c r="J42" s="28">
        <f>IFERROR(VLOOKUP($C42,'Dacom Data'!$Q$19:$AB$26,MATCH(CONCATENATE("sum of ",Summary!J$26),'Dacom Data'!$Q$19:$AB$19,0),0),0)</f>
        <v>549023.60000000009</v>
      </c>
      <c r="K42" s="28">
        <f>IFERROR(VLOOKUP($C42,'Dacom Data'!$Q$19:$AB$26,MATCH(CONCATENATE("sum of ",Summary!K$26),'Dacom Data'!$Q$19:$AB$19,0),0),0)</f>
        <v>805370.31</v>
      </c>
      <c r="L42" s="28">
        <f>IFERROR(VLOOKUP($C42,'Dacom Data'!$Q$19:$AB$26,MATCH(CONCATENATE("sum of ",Summary!L$26),'Dacom Data'!$Q$19:$AB$19,0),0),0)</f>
        <v>37874039.150000006</v>
      </c>
      <c r="M42" s="28">
        <f>IFERROR(VLOOKUP($C42,'Dacom Data'!$Q$19:$AB$26,MATCH(CONCATENATE("sum of ",Summary!M$26),'Dacom Data'!$Q$19:$AB$19,0),0),0)</f>
        <v>886496.18999999983</v>
      </c>
      <c r="N42" s="28">
        <f>IFERROR(VLOOKUP($C42,'Dacom Data'!$Q$19:$AB$26,MATCH(CONCATENATE("sum of ",Summary!N$26),'Dacom Data'!$Q$19:$AB$19,0),0),0)</f>
        <v>2021167.62</v>
      </c>
      <c r="O42" s="28">
        <f>IFERROR(VLOOKUP($C42,'Dacom Data'!$Q$19:$AB$26,MATCH(CONCATENATE("sum of ",Summary!O$26),'Dacom Data'!$Q$19:$AB$19,0),0),0)</f>
        <v>181002.77000000002</v>
      </c>
      <c r="P42" s="28">
        <f>IFERROR(VLOOKUP($C42,'Dacom Data'!$Q$19:$AB$26,MATCH(CONCATENATE("sum of ",Summary!P$26),'Dacom Data'!$Q$19:$AB$19,0),0),0)</f>
        <v>398667</v>
      </c>
      <c r="Q42" s="28">
        <f>IFERROR(VLOOKUP($C42,'Dacom Data'!$Q$19:$AB$26,MATCH(CONCATENATE("sum of ",Summary!Q$26),'Dacom Data'!$Q$19:$AB$19,0),0),0)</f>
        <v>0</v>
      </c>
      <c r="R42" s="28">
        <f>IFERROR(VLOOKUP($C42,'Dacom Data'!$Q$19:$AB$26,MATCH(CONCATENATE("sum of ",Summary!R$26),'Dacom Data'!$Q$19:$AB$19,0),0),0)</f>
        <v>0</v>
      </c>
      <c r="S42" s="28">
        <f>IFERROR(VLOOKUP($C42,'Dacom Data'!$Q$19:$AB$26,MATCH(CONCATENATE("sum of ",Summary!S$26),'Dacom Data'!$Q$19:$AB$19,0),0),0)</f>
        <v>0</v>
      </c>
      <c r="T42" s="28">
        <f>IFERROR(VLOOKUP($C42,'Dacom Data'!$Q$19:$AB$26,MATCH(CONCATENATE("sum of ",Summary!T$26),'Dacom Data'!$Q$19:$AB$19,0),0),0)</f>
        <v>0</v>
      </c>
      <c r="U42" s="28">
        <f>IFERROR(VLOOKUP($C42,'Dacom Data'!$Q$19:$AB$26,MATCH(CONCATENATE("sum of ",Summary!U$26),'Dacom Data'!$Q$19:$AB$19,0),0),0)</f>
        <v>0</v>
      </c>
      <c r="V42" s="28">
        <f>IFERROR(VLOOKUP($C42,'Dacom Data'!$Q$19:$AB$26,MATCH(CONCATENATE("sum of ",Summary!V$26),'Dacom Data'!$Q$19:$AB$19,0),0),0)</f>
        <v>0</v>
      </c>
      <c r="W42" s="29">
        <f t="shared" ref="W42:W43" si="17">SUM(H42:V42)</f>
        <v>58044402.590000004</v>
      </c>
      <c r="X42" s="29">
        <f t="shared" ref="X42:X43" si="18">+G42+W42</f>
        <v>66724750.400000006</v>
      </c>
      <c r="Y42" s="96"/>
    </row>
    <row r="43" spans="2:25" s="104" customFormat="1" ht="15.75" thickBot="1" x14ac:dyDescent="0.3">
      <c r="B43" s="331"/>
      <c r="C43" s="137">
        <v>2021</v>
      </c>
      <c r="D43" s="27">
        <f>COGNOS2!B20</f>
        <v>1962426836.3299999</v>
      </c>
      <c r="E43" s="27">
        <f>COGNOS2!C20</f>
        <v>158226941.55000001</v>
      </c>
      <c r="F43" s="27"/>
      <c r="G43" s="122">
        <f>COGNOS2!D20</f>
        <v>2783385.02</v>
      </c>
      <c r="H43" s="28">
        <f>IFERROR(VLOOKUP($C43,'Dacom Data'!$Q$19:$AB$29,MATCH(CONCATENATE("sum of ",Summary!H$26),'Dacom Data'!$Q$19:$AB$19,0),0),0)</f>
        <v>802276.54</v>
      </c>
      <c r="I43" s="28">
        <f>IFERROR(VLOOKUP($C43,'Dacom Data'!$Q$19:$AB$29,MATCH(CONCATENATE("sum of ",Summary!I$26),'Dacom Data'!$Q$19:$AB$19,0),0),0)</f>
        <v>1.54</v>
      </c>
      <c r="J43" s="28">
        <f>IFERROR(VLOOKUP($C43,'Dacom Data'!$Q$19:$AB$29,MATCH(CONCATENATE("sum of ",Summary!J$26),'Dacom Data'!$Q$19:$AB$19,0),0),0)</f>
        <v>5865</v>
      </c>
      <c r="K43" s="28">
        <f>IFERROR(VLOOKUP($C43,'Dacom Data'!$Q$19:$AB$29,MATCH(CONCATENATE("sum of ",Summary!K$26),'Dacom Data'!$Q$19:$AB$19,0),0),0)</f>
        <v>0</v>
      </c>
      <c r="L43" s="28">
        <f>IFERROR(VLOOKUP($C43,'Dacom Data'!$Q$19:$AB$29,MATCH(CONCATENATE("sum of ",Summary!L$26),'Dacom Data'!$Q$19:$AB$19,0),0),0)</f>
        <v>11249585.810000001</v>
      </c>
      <c r="M43" s="28">
        <f>IFERROR(VLOOKUP($C43,'Dacom Data'!$Q$19:$AB$29,MATCH(CONCATENATE("sum of ",Summary!M$26),'Dacom Data'!$Q$19:$AB$19,0),0),0)</f>
        <v>1347.48</v>
      </c>
      <c r="N43" s="28">
        <f>IFERROR(VLOOKUP($C43,'Dacom Data'!$Q$19:$AB$29,MATCH(CONCATENATE("sum of ",Summary!N$26),'Dacom Data'!$Q$19:$AB$19,0),0),0)</f>
        <v>180798.6</v>
      </c>
      <c r="O43" s="28">
        <f>IFERROR(VLOOKUP($C43,'Dacom Data'!$Q$19:$AB$29,MATCH(CONCATENATE("sum of ",Summary!O$26),'Dacom Data'!$Q$19:$AB$19,0),0),0)</f>
        <v>0</v>
      </c>
      <c r="P43" s="28">
        <f>IFERROR(VLOOKUP($C43,'Dacom Data'!$Q$19:$AB$29,MATCH(CONCATENATE("sum of ",Summary!P$26),'Dacom Data'!$Q$19:$AB$19,0),0),0)</f>
        <v>56315</v>
      </c>
      <c r="Q43" s="28">
        <f>IFERROR(VLOOKUP($C43,'Dacom Data'!$Q$19:$AB$29,MATCH(CONCATENATE("sum of ",Summary!Q$26),'Dacom Data'!$Q$19:$AB$19,0),0),0)</f>
        <v>0</v>
      </c>
      <c r="R43" s="28">
        <f>IFERROR(VLOOKUP($C43,'Dacom Data'!$Q$19:$AB$29,MATCH(CONCATENATE("sum of ",Summary!R$26),'Dacom Data'!$Q$19:$AB$19,0),0),0)</f>
        <v>0</v>
      </c>
      <c r="S43" s="28">
        <f>IFERROR(VLOOKUP($C43,'Dacom Data'!$Q$19:$AB$29,MATCH(CONCATENATE("sum of ",Summary!S$26),'Dacom Data'!$Q$19:$AB$19,0),0),0)</f>
        <v>0</v>
      </c>
      <c r="T43" s="28">
        <f>IFERROR(VLOOKUP($C43,'Dacom Data'!$Q$19:$AB$29,MATCH(CONCATENATE("sum of ",Summary!T$26),'Dacom Data'!$Q$19:$AB$19,0),0),0)</f>
        <v>0</v>
      </c>
      <c r="U43" s="28">
        <f>IFERROR(VLOOKUP($C43,'Dacom Data'!$Q$19:$AB$29,MATCH(CONCATENATE("sum of ",Summary!U$26),'Dacom Data'!$Q$19:$AB$19,0),0),0)</f>
        <v>0</v>
      </c>
      <c r="V43" s="28">
        <f>IFERROR(VLOOKUP($C43,'Dacom Data'!$Q$19:$AB$29,MATCH(CONCATENATE("sum of ",Summary!V$26),'Dacom Data'!$Q$19:$AB$19,0),0),0)</f>
        <v>0</v>
      </c>
      <c r="W43" s="29">
        <f t="shared" si="17"/>
        <v>12296189.970000001</v>
      </c>
      <c r="X43" s="29">
        <f t="shared" si="18"/>
        <v>15079574.99</v>
      </c>
      <c r="Y43" s="96"/>
    </row>
    <row r="44" spans="2:25" ht="15.75" thickBot="1" x14ac:dyDescent="0.3">
      <c r="B44" s="139"/>
      <c r="C44" s="135" t="s">
        <v>161</v>
      </c>
      <c r="D44" s="132">
        <f>SUM(D35:D43)</f>
        <v>44501551897.220001</v>
      </c>
      <c r="E44" s="132">
        <f>SUM(E35:E43)</f>
        <v>3626723845.6900005</v>
      </c>
      <c r="F44" s="131"/>
      <c r="G44" s="132">
        <f>SUM(G35:G43)</f>
        <v>91017458.829999998</v>
      </c>
      <c r="H44" s="133">
        <f t="shared" ref="H44:X44" si="19">SUM(H35:H43)</f>
        <v>160033846.18000001</v>
      </c>
      <c r="I44" s="133">
        <f t="shared" si="19"/>
        <v>58258.539999999994</v>
      </c>
      <c r="J44" s="133">
        <f t="shared" si="19"/>
        <v>5477772.2200000007</v>
      </c>
      <c r="K44" s="133">
        <f t="shared" si="19"/>
        <v>15964357.869999999</v>
      </c>
      <c r="L44" s="133">
        <f t="shared" si="19"/>
        <v>372286703.27499992</v>
      </c>
      <c r="M44" s="133">
        <f t="shared" si="19"/>
        <v>6128837.4850000003</v>
      </c>
      <c r="N44" s="133">
        <f t="shared" si="19"/>
        <v>7889300.959999999</v>
      </c>
      <c r="O44" s="133">
        <f t="shared" si="19"/>
        <v>2886832.98</v>
      </c>
      <c r="P44" s="133">
        <f t="shared" si="19"/>
        <v>1305877</v>
      </c>
      <c r="Q44" s="133">
        <f t="shared" si="19"/>
        <v>187540</v>
      </c>
      <c r="R44" s="133">
        <f t="shared" si="19"/>
        <v>25502490.579999998</v>
      </c>
      <c r="S44" s="133">
        <f t="shared" si="19"/>
        <v>150.01</v>
      </c>
      <c r="T44" s="133">
        <f t="shared" si="19"/>
        <v>0</v>
      </c>
      <c r="U44" s="133">
        <f t="shared" si="19"/>
        <v>0</v>
      </c>
      <c r="V44" s="133">
        <f t="shared" si="19"/>
        <v>0</v>
      </c>
      <c r="W44" s="133">
        <f t="shared" si="19"/>
        <v>597721967.10000002</v>
      </c>
      <c r="X44" s="133">
        <f t="shared" si="19"/>
        <v>688739425.92999995</v>
      </c>
    </row>
    <row r="45" spans="2:25" ht="21.75" hidden="1" customHeight="1" thickBot="1" x14ac:dyDescent="0.3">
      <c r="B45" s="22" t="s">
        <v>75</v>
      </c>
      <c r="D45" s="23" t="s">
        <v>76</v>
      </c>
      <c r="E45" s="23" t="s">
        <v>77</v>
      </c>
      <c r="F45" s="23"/>
      <c r="G45" s="123" t="s">
        <v>78</v>
      </c>
      <c r="H45" s="24" t="s">
        <v>134</v>
      </c>
      <c r="I45" s="24" t="s">
        <v>16</v>
      </c>
      <c r="J45" s="24" t="s">
        <v>22</v>
      </c>
      <c r="K45" s="24" t="s">
        <v>41</v>
      </c>
      <c r="L45" s="24" t="s">
        <v>44</v>
      </c>
      <c r="M45" s="24" t="s">
        <v>47</v>
      </c>
      <c r="N45" s="24" t="s">
        <v>15</v>
      </c>
      <c r="O45" s="24" t="s">
        <v>56</v>
      </c>
      <c r="P45" s="24" t="s">
        <v>117</v>
      </c>
      <c r="Q45" s="24" t="s">
        <v>138</v>
      </c>
      <c r="R45" s="24" t="s">
        <v>136</v>
      </c>
      <c r="S45" s="24" t="s">
        <v>135</v>
      </c>
      <c r="T45" s="24" t="s">
        <v>139</v>
      </c>
      <c r="U45" s="24" t="s">
        <v>91</v>
      </c>
      <c r="V45" s="26" t="s">
        <v>93</v>
      </c>
      <c r="W45" s="109" t="s">
        <v>152</v>
      </c>
      <c r="X45" s="108" t="s">
        <v>151</v>
      </c>
      <c r="Y45" t="s">
        <v>150</v>
      </c>
    </row>
    <row r="46" spans="2:25" ht="15.75" hidden="1" customHeight="1" thickBot="1" x14ac:dyDescent="0.3">
      <c r="B46" s="98">
        <v>2005</v>
      </c>
      <c r="D46" s="94">
        <f>VLOOKUP($B46,'COGNOS Data'!$A:$F,3,0)</f>
        <v>3967418646.04</v>
      </c>
      <c r="E46" s="94">
        <f>VLOOKUP($B46,'COGNOS Data'!$A:$F,4,0)</f>
        <v>323348200.51999998</v>
      </c>
      <c r="F46" s="94"/>
      <c r="G46" s="95">
        <f>VLOOKUP($B46,'COGNOS Data'!$A:$F,5,0)</f>
        <v>0</v>
      </c>
      <c r="H46" s="94">
        <f>IFERROR(VLOOKUP($B46,Sheet1!$B$3:$M$21,MATCH(Summary!H$45,Sheet1!$B$3:$M$3,0),0),0)</f>
        <v>27100608</v>
      </c>
      <c r="I46" s="94">
        <f>IFERROR(VLOOKUP($B46,Sheet1!$B$3:$M$21,MATCH(Summary!I$45,Sheet1!$B$3:$M$3,0),0),0)</f>
        <v>0</v>
      </c>
      <c r="J46" s="94">
        <f>IFERROR(VLOOKUP($B46,Sheet1!$B$3:$M$21,MATCH(Summary!J$45,Sheet1!$B$3:$M$3,0),0),0)</f>
        <v>7084530</v>
      </c>
      <c r="K46" s="94">
        <f>IFERROR(VLOOKUP($B46,Sheet1!$B$3:$M$21,MATCH(Summary!K$45,Sheet1!$B$3:$M$3,0),0),0)</f>
        <v>15688126</v>
      </c>
      <c r="L46" s="94">
        <f>IFERROR(VLOOKUP($B46,Sheet1!$B$3:$M$21,MATCH(Summary!L$45,Sheet1!$B$3:$M$3,0),0),0)</f>
        <v>0</v>
      </c>
      <c r="M46" s="94">
        <f>IFERROR(VLOOKUP($B46,Sheet1!$B$3:$M$21,MATCH(Summary!M$45,Sheet1!$B$3:$M$3,0),0),0)</f>
        <v>0</v>
      </c>
      <c r="N46" s="94">
        <f>IFERROR(VLOOKUP($B46,Sheet1!$B$3:$M$21,MATCH(Summary!N$45,Sheet1!$B$3:$M$3,0),0),0)</f>
        <v>0</v>
      </c>
      <c r="O46" s="94">
        <f>IFERROR(VLOOKUP($B46,Sheet1!$B$3:$M$21,MATCH(Summary!O$45,Sheet1!$B$3:$M$3,0),0),0)</f>
        <v>0</v>
      </c>
      <c r="P46" s="94">
        <f>IFERROR(VLOOKUP($B46,Sheet1!$B$3:$M$21,MATCH(Summary!P$45,Sheet1!$B$3:$M$3,0),0),0)</f>
        <v>0</v>
      </c>
      <c r="Q46" s="94">
        <f>IFERROR(VLOOKUP($B46,Sheet1!$B$3:$M$21,MATCH(Summary!Q$45,Sheet1!$B$3:$M$3,0),0),0)</f>
        <v>216650</v>
      </c>
      <c r="R46" s="94">
        <f>IFERROR(VLOOKUP($B46,Sheet1!$B$3:$M$21,MATCH(Summary!R$45,Sheet1!$B$3:$M$3,0),0),0)</f>
        <v>524110</v>
      </c>
      <c r="S46" s="94">
        <f>IFERROR(VLOOKUP($B46,Sheet1!$B$3:$M$21,MATCH(Summary!S$45,Sheet1!$B$3:$M$3,0),0),0)</f>
        <v>585149</v>
      </c>
      <c r="T46" s="94">
        <f>IFERROR(VLOOKUP($B46,Sheet1!$B$3:$M$21,MATCH(Summary!T$45,Sheet1!$B$3:$M$3,0),0),0)</f>
        <v>693690</v>
      </c>
      <c r="U46" s="95">
        <f t="shared" ref="U46:U62" si="20">+SUM(H46:T46)</f>
        <v>51892863</v>
      </c>
      <c r="V46" s="95">
        <f t="shared" ref="V46:V62" si="21">+G46+U46</f>
        <v>51892863</v>
      </c>
      <c r="W46" s="107">
        <f>+U46-X46</f>
        <v>0</v>
      </c>
      <c r="X46" s="106">
        <f>+VLOOKUP(B46,Sheet1!$B$3:$M$21,MATCH("grand Total",Sheet1!$B$3:$M$3,0),0)</f>
        <v>51892863</v>
      </c>
      <c r="Y46" s="106">
        <f>+X46-U46</f>
        <v>0</v>
      </c>
    </row>
    <row r="47" spans="2:25" ht="15.75" hidden="1" customHeight="1" thickBot="1" x14ac:dyDescent="0.3">
      <c r="B47" s="98">
        <v>2006</v>
      </c>
      <c r="D47" s="94">
        <f>VLOOKUP($B47,'COGNOS Data'!$A:$F,3,0)</f>
        <v>4366686874.21</v>
      </c>
      <c r="E47" s="94">
        <f>VLOOKUP($B47,'COGNOS Data'!$A:$F,4,0)</f>
        <v>364084420.60000002</v>
      </c>
      <c r="F47" s="94"/>
      <c r="G47" s="95">
        <f>VLOOKUP($B47,'COGNOS Data'!$A:$F,5,0)</f>
        <v>0</v>
      </c>
      <c r="H47" s="94">
        <f>IFERROR(VLOOKUP($B47,Sheet1!$B$3:$M$21,MATCH(Summary!H$45,Sheet1!$B$3:$M$3,0),0),0)</f>
        <v>28608578</v>
      </c>
      <c r="I47" s="94">
        <f>IFERROR(VLOOKUP($B47,Sheet1!$B$3:$M$21,MATCH(Summary!I$45,Sheet1!$B$3:$M$3,0),0),0)</f>
        <v>0</v>
      </c>
      <c r="J47" s="94">
        <f>IFERROR(VLOOKUP($B47,Sheet1!$B$3:$M$21,MATCH(Summary!J$45,Sheet1!$B$3:$M$3,0),0),0)</f>
        <v>7197495</v>
      </c>
      <c r="K47" s="94">
        <f>IFERROR(VLOOKUP($B47,Sheet1!$B$3:$M$21,MATCH(Summary!K$45,Sheet1!$B$3:$M$3,0),0),0)</f>
        <v>19167581.640000001</v>
      </c>
      <c r="L47" s="94">
        <f>IFERROR(VLOOKUP($B47,Sheet1!$B$3:$M$21,MATCH(Summary!L$45,Sheet1!$B$3:$M$3,0),0),0)</f>
        <v>0</v>
      </c>
      <c r="M47" s="94">
        <f>IFERROR(VLOOKUP($B47,Sheet1!$B$3:$M$21,MATCH(Summary!M$45,Sheet1!$B$3:$M$3,0),0),0)</f>
        <v>0</v>
      </c>
      <c r="N47" s="94">
        <f>IFERROR(VLOOKUP($B47,Sheet1!$B$3:$M$21,MATCH(Summary!N$45,Sheet1!$B$3:$M$3,0),0),0)</f>
        <v>0</v>
      </c>
      <c r="O47" s="94">
        <f>IFERROR(VLOOKUP($B47,Sheet1!$B$3:$M$21,MATCH(Summary!O$45,Sheet1!$B$3:$M$3,0),0),0)</f>
        <v>0</v>
      </c>
      <c r="P47" s="94">
        <f>IFERROR(VLOOKUP($B47,Sheet1!$B$3:$M$21,MATCH(Summary!P$45,Sheet1!$B$3:$M$3,0),0),0)</f>
        <v>0</v>
      </c>
      <c r="Q47" s="94">
        <f>IFERROR(VLOOKUP($B47,Sheet1!$B$3:$M$21,MATCH(Summary!Q$45,Sheet1!$B$3:$M$3,0),0),0)</f>
        <v>287850</v>
      </c>
      <c r="R47" s="94">
        <f>IFERROR(VLOOKUP($B47,Sheet1!$B$3:$M$21,MATCH(Summary!R$45,Sheet1!$B$3:$M$3,0),0),0)</f>
        <v>433285</v>
      </c>
      <c r="S47" s="94">
        <f>IFERROR(VLOOKUP($B47,Sheet1!$B$3:$M$21,MATCH(Summary!S$45,Sheet1!$B$3:$M$3,0),0),0)</f>
        <v>615000</v>
      </c>
      <c r="T47" s="94">
        <f>IFERROR(VLOOKUP($B47,Sheet1!$B$3:$M$21,MATCH(Summary!T$45,Sheet1!$B$3:$M$3,0),0),0)</f>
        <v>641815</v>
      </c>
      <c r="U47" s="95">
        <f t="shared" si="20"/>
        <v>56951604.640000001</v>
      </c>
      <c r="V47" s="95">
        <f t="shared" si="21"/>
        <v>56951604.640000001</v>
      </c>
      <c r="W47" s="107">
        <f t="shared" ref="W47:W54" si="22">+U47-X47</f>
        <v>0</v>
      </c>
      <c r="X47" s="106">
        <f>+VLOOKUP(B47,Sheet1!$B$3:$M$21,MATCH("grand Total",Sheet1!$B$3:$M$3,0),0)</f>
        <v>56951604.640000001</v>
      </c>
      <c r="Y47" s="106">
        <f t="shared" ref="Y47:Y54" si="23">+X47-U47</f>
        <v>0</v>
      </c>
    </row>
    <row r="48" spans="2:25" ht="15.75" hidden="1" customHeight="1" thickBot="1" x14ac:dyDescent="0.3">
      <c r="B48" s="98">
        <v>2007</v>
      </c>
      <c r="D48" s="94">
        <f>VLOOKUP($B48,'COGNOS Data'!$A:$F,3,0)</f>
        <v>4352968473.7200003</v>
      </c>
      <c r="E48" s="94">
        <f>VLOOKUP($B48,'COGNOS Data'!$A:$F,4,0)</f>
        <v>367531498.35000002</v>
      </c>
      <c r="F48" s="94"/>
      <c r="G48" s="95">
        <f>VLOOKUP($B48,'COGNOS Data'!$A:$F,5,0)</f>
        <v>0</v>
      </c>
      <c r="H48" s="94">
        <f>IFERROR(VLOOKUP($B48,Sheet1!$B$3:$M$21,MATCH(Summary!H$45,Sheet1!$B$3:$M$3,0),0),0)</f>
        <v>37618409</v>
      </c>
      <c r="I48" s="94">
        <f>IFERROR(VLOOKUP($B48,Sheet1!$B$3:$M$21,MATCH(Summary!I$45,Sheet1!$B$3:$M$3,0),0),0)</f>
        <v>0</v>
      </c>
      <c r="J48" s="94">
        <f>IFERROR(VLOOKUP($B48,Sheet1!$B$3:$M$21,MATCH(Summary!J$45,Sheet1!$B$3:$M$3,0),0),0)</f>
        <v>6731198</v>
      </c>
      <c r="K48" s="94">
        <f>IFERROR(VLOOKUP($B48,Sheet1!$B$3:$M$21,MATCH(Summary!K$45,Sheet1!$B$3:$M$3,0),0),0)</f>
        <v>22448587</v>
      </c>
      <c r="L48" s="94">
        <f>IFERROR(VLOOKUP($B48,Sheet1!$B$3:$M$21,MATCH(Summary!L$45,Sheet1!$B$3:$M$3,0),0),0)</f>
        <v>0</v>
      </c>
      <c r="M48" s="94">
        <f>IFERROR(VLOOKUP($B48,Sheet1!$B$3:$M$21,MATCH(Summary!M$45,Sheet1!$B$3:$M$3,0),0),0)</f>
        <v>0</v>
      </c>
      <c r="N48" s="94">
        <f>IFERROR(VLOOKUP($B48,Sheet1!$B$3:$M$21,MATCH(Summary!N$45,Sheet1!$B$3:$M$3,0),0),0)</f>
        <v>0</v>
      </c>
      <c r="O48" s="94">
        <f>IFERROR(VLOOKUP($B48,Sheet1!$B$3:$M$21,MATCH(Summary!O$45,Sheet1!$B$3:$M$3,0),0),0)</f>
        <v>0</v>
      </c>
      <c r="P48" s="94">
        <f>IFERROR(VLOOKUP($B48,Sheet1!$B$3:$M$21,MATCH(Summary!P$45,Sheet1!$B$3:$M$3,0),0),0)</f>
        <v>0</v>
      </c>
      <c r="Q48" s="94">
        <f>IFERROR(VLOOKUP($B48,Sheet1!$B$3:$M$21,MATCH(Summary!Q$45,Sheet1!$B$3:$M$3,0),0),0)</f>
        <v>342700</v>
      </c>
      <c r="R48" s="94">
        <f>IFERROR(VLOOKUP($B48,Sheet1!$B$3:$M$21,MATCH(Summary!R$45,Sheet1!$B$3:$M$3,0),0),0)</f>
        <v>279960</v>
      </c>
      <c r="S48" s="94">
        <f>IFERROR(VLOOKUP($B48,Sheet1!$B$3:$M$21,MATCH(Summary!S$45,Sheet1!$B$3:$M$3,0),0),0)</f>
        <v>241232</v>
      </c>
      <c r="T48" s="94">
        <f>IFERROR(VLOOKUP($B48,Sheet1!$B$3:$M$21,MATCH(Summary!T$45,Sheet1!$B$3:$M$3,0),0),0)</f>
        <v>197160</v>
      </c>
      <c r="U48" s="95">
        <f t="shared" si="20"/>
        <v>67859246</v>
      </c>
      <c r="V48" s="95">
        <f t="shared" si="21"/>
        <v>67859246</v>
      </c>
      <c r="W48" s="107">
        <f t="shared" si="22"/>
        <v>0</v>
      </c>
      <c r="X48" s="106">
        <f>+VLOOKUP(B48,Sheet1!$B$3:$M$21,MATCH("grand Total",Sheet1!$B$3:$M$3,0),0)</f>
        <v>67859246</v>
      </c>
      <c r="Y48" s="106">
        <f t="shared" si="23"/>
        <v>0</v>
      </c>
    </row>
    <row r="49" spans="2:25" ht="15.75" hidden="1" customHeight="1" thickBot="1" x14ac:dyDescent="0.3">
      <c r="B49" s="98">
        <v>2008</v>
      </c>
      <c r="D49" s="94">
        <f>VLOOKUP($B49,'COGNOS Data'!$A:$F,3,0)</f>
        <v>4445573703.5799999</v>
      </c>
      <c r="E49" s="94">
        <f>VLOOKUP($B49,'COGNOS Data'!$A:$F,4,0)</f>
        <v>375232895.51999998</v>
      </c>
      <c r="F49" s="94"/>
      <c r="G49" s="95">
        <f>VLOOKUP($B49,'COGNOS Data'!$A:$F,5,0)</f>
        <v>0</v>
      </c>
      <c r="H49" s="94">
        <f>IFERROR(VLOOKUP($B49,Sheet1!$B$3:$M$21,MATCH(Summary!H$45,Sheet1!$B$3:$M$3,0),0),0)</f>
        <v>40613652</v>
      </c>
      <c r="I49" s="94">
        <f>IFERROR(VLOOKUP($B49,Sheet1!$B$3:$M$21,MATCH(Summary!I$45,Sheet1!$B$3:$M$3,0),0),0)</f>
        <v>0</v>
      </c>
      <c r="J49" s="94">
        <f>IFERROR(VLOOKUP($B49,Sheet1!$B$3:$M$21,MATCH(Summary!J$45,Sheet1!$B$3:$M$3,0),0),0)</f>
        <v>7033710</v>
      </c>
      <c r="K49" s="94">
        <f>IFERROR(VLOOKUP($B49,Sheet1!$B$3:$M$21,MATCH(Summary!K$45,Sheet1!$B$3:$M$3,0),0),0)</f>
        <v>21050329</v>
      </c>
      <c r="L49" s="94">
        <f>IFERROR(VLOOKUP($B49,Sheet1!$B$3:$M$21,MATCH(Summary!L$45,Sheet1!$B$3:$M$3,0),0),0)</f>
        <v>0</v>
      </c>
      <c r="M49" s="94">
        <f>IFERROR(VLOOKUP($B49,Sheet1!$B$3:$M$21,MATCH(Summary!M$45,Sheet1!$B$3:$M$3,0),0),0)</f>
        <v>0</v>
      </c>
      <c r="N49" s="94">
        <f>IFERROR(VLOOKUP($B49,Sheet1!$B$3:$M$21,MATCH(Summary!N$45,Sheet1!$B$3:$M$3,0),0),0)</f>
        <v>0</v>
      </c>
      <c r="O49" s="94">
        <f>IFERROR(VLOOKUP($B49,Sheet1!$B$3:$M$21,MATCH(Summary!O$45,Sheet1!$B$3:$M$3,0),0),0)</f>
        <v>0</v>
      </c>
      <c r="P49" s="94">
        <f>IFERROR(VLOOKUP($B49,Sheet1!$B$3:$M$21,MATCH(Summary!P$45,Sheet1!$B$3:$M$3,0),0),0)</f>
        <v>0</v>
      </c>
      <c r="Q49" s="94">
        <f>IFERROR(VLOOKUP($B49,Sheet1!$B$3:$M$21,MATCH(Summary!Q$45,Sheet1!$B$3:$M$3,0),0),0)</f>
        <v>377700</v>
      </c>
      <c r="R49" s="94">
        <f>IFERROR(VLOOKUP($B49,Sheet1!$B$3:$M$21,MATCH(Summary!R$45,Sheet1!$B$3:$M$3,0),0),0)</f>
        <v>0</v>
      </c>
      <c r="S49" s="94">
        <f>IFERROR(VLOOKUP($B49,Sheet1!$B$3:$M$21,MATCH(Summary!S$45,Sheet1!$B$3:$M$3,0),0),0)</f>
        <v>0</v>
      </c>
      <c r="T49" s="94">
        <f>IFERROR(VLOOKUP($B49,Sheet1!$B$3:$M$21,MATCH(Summary!T$45,Sheet1!$B$3:$M$3,0),0),0)</f>
        <v>4680</v>
      </c>
      <c r="U49" s="95">
        <f t="shared" si="20"/>
        <v>69080071</v>
      </c>
      <c r="V49" s="95">
        <f t="shared" si="21"/>
        <v>69080071</v>
      </c>
      <c r="W49" s="107">
        <f t="shared" si="22"/>
        <v>0</v>
      </c>
      <c r="X49" s="106">
        <f>+VLOOKUP(B49,Sheet1!$B$3:$M$21,MATCH("grand Total",Sheet1!$B$3:$M$3,0),0)</f>
        <v>69080071</v>
      </c>
      <c r="Y49" s="106">
        <f t="shared" si="23"/>
        <v>0</v>
      </c>
    </row>
    <row r="50" spans="2:25" ht="15.75" hidden="1" customHeight="1" thickBot="1" x14ac:dyDescent="0.3">
      <c r="B50" s="98">
        <v>2009</v>
      </c>
      <c r="D50" s="94">
        <f>VLOOKUP($B50,'COGNOS Data'!$A:$F,3,0)</f>
        <v>4613581411.3599997</v>
      </c>
      <c r="E50" s="94">
        <f>VLOOKUP($B50,'COGNOS Data'!$A:$F,4,0)</f>
        <v>387899089.68000001</v>
      </c>
      <c r="F50" s="94"/>
      <c r="G50" s="95">
        <f>VLOOKUP($B50,'COGNOS Data'!$A:$F,5,0)</f>
        <v>0</v>
      </c>
      <c r="H50" s="94">
        <f>IFERROR(VLOOKUP($B50,Sheet1!$B$3:$M$21,MATCH(Summary!H$45,Sheet1!$B$3:$M$3,0),0),0)</f>
        <v>39117084</v>
      </c>
      <c r="I50" s="94">
        <f>IFERROR(VLOOKUP($B50,Sheet1!$B$3:$M$21,MATCH(Summary!I$45,Sheet1!$B$3:$M$3,0),0),0)</f>
        <v>0</v>
      </c>
      <c r="J50" s="94">
        <f>IFERROR(VLOOKUP($B50,Sheet1!$B$3:$M$21,MATCH(Summary!J$45,Sheet1!$B$3:$M$3,0),0),0)</f>
        <v>3772835</v>
      </c>
      <c r="K50" s="94">
        <f>IFERROR(VLOOKUP($B50,Sheet1!$B$3:$M$21,MATCH(Summary!K$45,Sheet1!$B$3:$M$3,0),0),0)</f>
        <v>22439172</v>
      </c>
      <c r="L50" s="94">
        <f>IFERROR(VLOOKUP($B50,Sheet1!$B$3:$M$21,MATCH(Summary!L$45,Sheet1!$B$3:$M$3,0),0),0)</f>
        <v>0</v>
      </c>
      <c r="M50" s="94">
        <f>IFERROR(VLOOKUP($B50,Sheet1!$B$3:$M$21,MATCH(Summary!M$45,Sheet1!$B$3:$M$3,0),0),0)</f>
        <v>0</v>
      </c>
      <c r="N50" s="94">
        <f>IFERROR(VLOOKUP($B50,Sheet1!$B$3:$M$21,MATCH(Summary!N$45,Sheet1!$B$3:$M$3,0),0),0)</f>
        <v>0</v>
      </c>
      <c r="O50" s="94">
        <f>IFERROR(VLOOKUP($B50,Sheet1!$B$3:$M$21,MATCH(Summary!O$45,Sheet1!$B$3:$M$3,0),0),0)</f>
        <v>0</v>
      </c>
      <c r="P50" s="94">
        <f>IFERROR(VLOOKUP($B50,Sheet1!$B$3:$M$21,MATCH(Summary!P$45,Sheet1!$B$3:$M$3,0),0),0)</f>
        <v>0</v>
      </c>
      <c r="Q50" s="94">
        <f>IFERROR(VLOOKUP($B50,Sheet1!$B$3:$M$21,MATCH(Summary!Q$45,Sheet1!$B$3:$M$3,0),0),0)</f>
        <v>397850</v>
      </c>
      <c r="R50" s="94">
        <f>IFERROR(VLOOKUP($B50,Sheet1!$B$3:$M$21,MATCH(Summary!R$45,Sheet1!$B$3:$M$3,0),0),0)</f>
        <v>0</v>
      </c>
      <c r="S50" s="94">
        <f>IFERROR(VLOOKUP($B50,Sheet1!$B$3:$M$21,MATCH(Summary!S$45,Sheet1!$B$3:$M$3,0),0),0)</f>
        <v>0</v>
      </c>
      <c r="T50" s="94">
        <f>IFERROR(VLOOKUP($B50,Sheet1!$B$3:$M$21,MATCH(Summary!T$45,Sheet1!$B$3:$M$3,0),0),0)</f>
        <v>2815</v>
      </c>
      <c r="U50" s="95">
        <f t="shared" si="20"/>
        <v>65729756</v>
      </c>
      <c r="V50" s="95">
        <f t="shared" si="21"/>
        <v>65729756</v>
      </c>
      <c r="W50" s="107">
        <f t="shared" si="22"/>
        <v>0</v>
      </c>
      <c r="X50" s="106">
        <f>+VLOOKUP(B50,Sheet1!$B$3:$M$21,MATCH("grand Total",Sheet1!$B$3:$M$3,0),0)</f>
        <v>65729756</v>
      </c>
      <c r="Y50" s="106">
        <f t="shared" si="23"/>
        <v>0</v>
      </c>
    </row>
    <row r="51" spans="2:25" ht="15.75" hidden="1" customHeight="1" thickBot="1" x14ac:dyDescent="0.3">
      <c r="B51" s="98">
        <v>2010</v>
      </c>
      <c r="D51" s="94">
        <f>VLOOKUP($B51,'COGNOS Data'!$A:$F,3,0)</f>
        <v>4723013429.3599997</v>
      </c>
      <c r="E51" s="94">
        <f>VLOOKUP($B51,'COGNOS Data'!$A:$F,4,0)</f>
        <v>407073950.49000001</v>
      </c>
      <c r="F51" s="94"/>
      <c r="G51" s="95">
        <f>VLOOKUP($B51,'COGNOS Data'!$A:$F,5,0)</f>
        <v>0</v>
      </c>
      <c r="H51" s="94">
        <f>IFERROR(VLOOKUP($B51,Sheet1!$B$3:$M$21,MATCH(Summary!H$45,Sheet1!$B$3:$M$3,0),0),0)</f>
        <v>36958623</v>
      </c>
      <c r="I51" s="94">
        <f>IFERROR(VLOOKUP($B51,Sheet1!$B$3:$M$21,MATCH(Summary!I$45,Sheet1!$B$3:$M$3,0),0),0)</f>
        <v>0</v>
      </c>
      <c r="J51" s="94">
        <f>IFERROR(VLOOKUP($B51,Sheet1!$B$3:$M$21,MATCH(Summary!J$45,Sheet1!$B$3:$M$3,0),0),0)</f>
        <v>2157145</v>
      </c>
      <c r="K51" s="94">
        <f>IFERROR(VLOOKUP($B51,Sheet1!$B$3:$M$21,MATCH(Summary!K$45,Sheet1!$B$3:$M$3,0),0),0)</f>
        <v>23563733</v>
      </c>
      <c r="L51" s="94">
        <f>IFERROR(VLOOKUP($B51,Sheet1!$B$3:$M$21,MATCH(Summary!L$45,Sheet1!$B$3:$M$3,0),0),0)</f>
        <v>0</v>
      </c>
      <c r="M51" s="94">
        <f>IFERROR(VLOOKUP($B51,Sheet1!$B$3:$M$21,MATCH(Summary!M$45,Sheet1!$B$3:$M$3,0),0),0)</f>
        <v>0</v>
      </c>
      <c r="N51" s="94">
        <f>IFERROR(VLOOKUP($B51,Sheet1!$B$3:$M$21,MATCH(Summary!N$45,Sheet1!$B$3:$M$3,0),0),0)</f>
        <v>0</v>
      </c>
      <c r="O51" s="94">
        <f>IFERROR(VLOOKUP($B51,Sheet1!$B$3:$M$21,MATCH(Summary!O$45,Sheet1!$B$3:$M$3,0),0),0)</f>
        <v>0</v>
      </c>
      <c r="P51" s="94">
        <f>IFERROR(VLOOKUP($B51,Sheet1!$B$3:$M$21,MATCH(Summary!P$45,Sheet1!$B$3:$M$3,0),0),0)</f>
        <v>0</v>
      </c>
      <c r="Q51" s="94">
        <f>IFERROR(VLOOKUP($B51,Sheet1!$B$3:$M$21,MATCH(Summary!Q$45,Sheet1!$B$3:$M$3,0),0),0)</f>
        <v>322800</v>
      </c>
      <c r="R51" s="94">
        <f>IFERROR(VLOOKUP($B51,Sheet1!$B$3:$M$21,MATCH(Summary!R$45,Sheet1!$B$3:$M$3,0),0),0)</f>
        <v>0</v>
      </c>
      <c r="S51" s="94">
        <f>IFERROR(VLOOKUP($B51,Sheet1!$B$3:$M$21,MATCH(Summary!S$45,Sheet1!$B$3:$M$3,0),0),0)</f>
        <v>0</v>
      </c>
      <c r="T51" s="94">
        <f>IFERROR(VLOOKUP($B51,Sheet1!$B$3:$M$21,MATCH(Summary!T$45,Sheet1!$B$3:$M$3,0),0),0)</f>
        <v>2415</v>
      </c>
      <c r="U51" s="95">
        <f t="shared" si="20"/>
        <v>63004716</v>
      </c>
      <c r="V51" s="95">
        <f t="shared" si="21"/>
        <v>63004716</v>
      </c>
      <c r="W51" s="107">
        <f t="shared" si="22"/>
        <v>0</v>
      </c>
      <c r="X51" s="106">
        <f>+VLOOKUP(B51,Sheet1!$B$3:$M$21,MATCH("grand Total",Sheet1!$B$3:$M$3,0),0)</f>
        <v>63004716</v>
      </c>
      <c r="Y51" s="106">
        <f t="shared" si="23"/>
        <v>0</v>
      </c>
    </row>
    <row r="52" spans="2:25" ht="15.75" hidden="1" customHeight="1" thickBot="1" x14ac:dyDescent="0.3">
      <c r="B52" s="98">
        <v>2011</v>
      </c>
      <c r="D52" s="94">
        <f>VLOOKUP($B52,'COGNOS Data'!$A:$F,3,0)</f>
        <v>4988007891.8699999</v>
      </c>
      <c r="E52" s="94">
        <f>VLOOKUP($B52,'COGNOS Data'!$A:$F,4,0)</f>
        <v>434415889.69</v>
      </c>
      <c r="F52" s="94"/>
      <c r="G52" s="95">
        <f>VLOOKUP($B52,'COGNOS Data'!$A:$F,5,0)</f>
        <v>0</v>
      </c>
      <c r="H52" s="94">
        <f>IFERROR(VLOOKUP($B52,Sheet1!$B$3:$M$21,MATCH(Summary!H$45,Sheet1!$B$3:$M$3,0),0),0)</f>
        <v>33217379</v>
      </c>
      <c r="I52" s="94">
        <f>IFERROR(VLOOKUP($B52,Sheet1!$B$3:$M$21,MATCH(Summary!I$45,Sheet1!$B$3:$M$3,0),0),0)</f>
        <v>0</v>
      </c>
      <c r="J52" s="94">
        <f>IFERROR(VLOOKUP($B52,Sheet1!$B$3:$M$21,MATCH(Summary!J$45,Sheet1!$B$3:$M$3,0),0),0)</f>
        <v>1335280</v>
      </c>
      <c r="K52" s="94">
        <f>IFERROR(VLOOKUP($B52,Sheet1!$B$3:$M$21,MATCH(Summary!K$45,Sheet1!$B$3:$M$3,0),0),0)</f>
        <v>27099251</v>
      </c>
      <c r="L52" s="94">
        <f>IFERROR(VLOOKUP($B52,Sheet1!$B$3:$M$21,MATCH(Summary!L$45,Sheet1!$B$3:$M$3,0),0),0)</f>
        <v>0</v>
      </c>
      <c r="M52" s="94">
        <f>IFERROR(VLOOKUP($B52,Sheet1!$B$3:$M$21,MATCH(Summary!M$45,Sheet1!$B$3:$M$3,0),0),0)</f>
        <v>0</v>
      </c>
      <c r="N52" s="94">
        <f>IFERROR(VLOOKUP($B52,Sheet1!$B$3:$M$21,MATCH(Summary!N$45,Sheet1!$B$3:$M$3,0),0),0)</f>
        <v>0</v>
      </c>
      <c r="O52" s="94">
        <f>IFERROR(VLOOKUP($B52,Sheet1!$B$3:$M$21,MATCH(Summary!O$45,Sheet1!$B$3:$M$3,0),0),0)</f>
        <v>0</v>
      </c>
      <c r="P52" s="94">
        <f>IFERROR(VLOOKUP($B52,Sheet1!$B$3:$M$21,MATCH(Summary!P$45,Sheet1!$B$3:$M$3,0),0),0)</f>
        <v>0</v>
      </c>
      <c r="Q52" s="94">
        <f>IFERROR(VLOOKUP($B52,Sheet1!$B$3:$M$21,MATCH(Summary!Q$45,Sheet1!$B$3:$M$3,0),0),0)</f>
        <v>350800</v>
      </c>
      <c r="R52" s="94">
        <f>IFERROR(VLOOKUP($B52,Sheet1!$B$3:$M$21,MATCH(Summary!R$45,Sheet1!$B$3:$M$3,0),0),0)</f>
        <v>0</v>
      </c>
      <c r="S52" s="94">
        <f>IFERROR(VLOOKUP($B52,Sheet1!$B$3:$M$21,MATCH(Summary!S$45,Sheet1!$B$3:$M$3,0),0),0)</f>
        <v>0</v>
      </c>
      <c r="T52" s="94">
        <f>IFERROR(VLOOKUP($B52,Sheet1!$B$3:$M$21,MATCH(Summary!T$45,Sheet1!$B$3:$M$3,0),0),0)</f>
        <v>30</v>
      </c>
      <c r="U52" s="95">
        <f t="shared" si="20"/>
        <v>62002740</v>
      </c>
      <c r="V52" s="95">
        <f t="shared" si="21"/>
        <v>62002740</v>
      </c>
      <c r="W52" s="107">
        <f t="shared" si="22"/>
        <v>0</v>
      </c>
      <c r="X52" s="106">
        <f>+VLOOKUP(B52,Sheet1!$B$3:$M$21,MATCH("grand Total",Sheet1!$B$3:$M$3,0),0)</f>
        <v>62002740</v>
      </c>
      <c r="Y52" s="106">
        <f t="shared" si="23"/>
        <v>0</v>
      </c>
    </row>
    <row r="53" spans="2:25" ht="15.75" hidden="1" customHeight="1" thickBot="1" x14ac:dyDescent="0.3">
      <c r="B53" s="98">
        <v>2012</v>
      </c>
      <c r="D53" s="94">
        <f>VLOOKUP($B53,'COGNOS Data'!$A:$F,3,0)</f>
        <v>5113108047.9899998</v>
      </c>
      <c r="E53" s="94">
        <f>VLOOKUP($B53,'COGNOS Data'!$A:$F,4,0)</f>
        <v>448832810.55000001</v>
      </c>
      <c r="F53" s="94"/>
      <c r="G53" s="95">
        <f>VLOOKUP($B53,'COGNOS Data'!$A:$F,5,0)</f>
        <v>0</v>
      </c>
      <c r="H53" s="94">
        <f>IFERROR(VLOOKUP($B53,Sheet1!$B$3:$M$21,MATCH(Summary!H$45,Sheet1!$B$3:$M$3,0),0),0)</f>
        <v>30762195</v>
      </c>
      <c r="I53" s="94">
        <f>IFERROR(VLOOKUP($B53,Sheet1!$B$3:$M$21,MATCH(Summary!I$45,Sheet1!$B$3:$M$3,0),0),0)</f>
        <v>0</v>
      </c>
      <c r="J53" s="94">
        <f>IFERROR(VLOOKUP($B53,Sheet1!$B$3:$M$21,MATCH(Summary!J$45,Sheet1!$B$3:$M$3,0),0),0)</f>
        <v>1197060</v>
      </c>
      <c r="K53" s="94">
        <f>IFERROR(VLOOKUP($B53,Sheet1!$B$3:$M$21,MATCH(Summary!K$45,Sheet1!$B$3:$M$3,0),0),0)</f>
        <v>29700522</v>
      </c>
      <c r="L53" s="94">
        <f>IFERROR(VLOOKUP($B53,Sheet1!$B$3:$M$21,MATCH(Summary!L$45,Sheet1!$B$3:$M$3,0),0),0)</f>
        <v>0</v>
      </c>
      <c r="M53" s="94">
        <f>IFERROR(VLOOKUP($B53,Sheet1!$B$3:$M$21,MATCH(Summary!M$45,Sheet1!$B$3:$M$3,0),0),0)</f>
        <v>0</v>
      </c>
      <c r="N53" s="94">
        <f>IFERROR(VLOOKUP($B53,Sheet1!$B$3:$M$21,MATCH(Summary!N$45,Sheet1!$B$3:$M$3,0),0),0)</f>
        <v>0</v>
      </c>
      <c r="O53" s="94">
        <f>IFERROR(VLOOKUP($B53,Sheet1!$B$3:$M$21,MATCH(Summary!O$45,Sheet1!$B$3:$M$3,0),0),0)</f>
        <v>0</v>
      </c>
      <c r="P53" s="94">
        <f>IFERROR(VLOOKUP($B53,Sheet1!$B$3:$M$21,MATCH(Summary!P$45,Sheet1!$B$3:$M$3,0),0),0)</f>
        <v>0</v>
      </c>
      <c r="Q53" s="94">
        <f>IFERROR(VLOOKUP($B53,Sheet1!$B$3:$M$21,MATCH(Summary!Q$45,Sheet1!$B$3:$M$3,0),0),0)</f>
        <v>34750</v>
      </c>
      <c r="R53" s="94">
        <f>IFERROR(VLOOKUP($B53,Sheet1!$B$3:$M$21,MATCH(Summary!R$45,Sheet1!$B$3:$M$3,0),0),0)</f>
        <v>0</v>
      </c>
      <c r="S53" s="94">
        <f>IFERROR(VLOOKUP($B53,Sheet1!$B$3:$M$21,MATCH(Summary!S$45,Sheet1!$B$3:$M$3,0),0),0)</f>
        <v>0</v>
      </c>
      <c r="T53" s="94">
        <f>IFERROR(VLOOKUP($B53,Sheet1!$B$3:$M$21,MATCH(Summary!T$45,Sheet1!$B$3:$M$3,0),0),0)</f>
        <v>0</v>
      </c>
      <c r="U53" s="95">
        <f t="shared" si="20"/>
        <v>61694527</v>
      </c>
      <c r="V53" s="95">
        <f t="shared" si="21"/>
        <v>61694527</v>
      </c>
      <c r="W53" s="107">
        <f t="shared" si="22"/>
        <v>0</v>
      </c>
      <c r="X53" s="106">
        <f>+VLOOKUP(B53,Sheet1!$B$3:$M$21,MATCH("grand Total",Sheet1!$B$3:$M$3,0),0)</f>
        <v>61694527</v>
      </c>
      <c r="Y53" s="106">
        <f t="shared" si="23"/>
        <v>0</v>
      </c>
    </row>
    <row r="54" spans="2:25" ht="15.75" hidden="1" customHeight="1" thickBot="1" x14ac:dyDescent="0.3">
      <c r="B54" s="98">
        <v>2013</v>
      </c>
      <c r="D54" s="94">
        <f>VLOOKUP($B54,'COGNOS Data'!$A:$F,3,0)</f>
        <v>5111331229.8400002</v>
      </c>
      <c r="E54" s="94">
        <f>VLOOKUP($B54,'COGNOS Data'!$A:$F,4,0)</f>
        <v>442365887.73000002</v>
      </c>
      <c r="F54" s="94"/>
      <c r="G54" s="95">
        <f>VLOOKUP($B54,'COGNOS Data'!$A:$F,5,0)</f>
        <v>7444824.2800000003</v>
      </c>
      <c r="H54" s="94">
        <f>IFERROR(VLOOKUP($B54,Sheet1!$B$3:$M$21,MATCH(Summary!H$45,Sheet1!$B$3:$M$3,0),0),0)</f>
        <v>25545330</v>
      </c>
      <c r="I54" s="94">
        <f>IFERROR(VLOOKUP($B54,Sheet1!$B$3:$M$21,MATCH(Summary!I$45,Sheet1!$B$3:$M$3,0),0),0)</f>
        <v>0</v>
      </c>
      <c r="J54" s="94">
        <f>IFERROR(VLOOKUP($B54,Sheet1!$B$3:$M$21,MATCH(Summary!J$45,Sheet1!$B$3:$M$3,0),0),0)</f>
        <v>1320370</v>
      </c>
      <c r="K54" s="94">
        <f>IFERROR(VLOOKUP($B54,Sheet1!$B$3:$M$21,MATCH(Summary!K$45,Sheet1!$B$3:$M$3,0),0),0)</f>
        <v>34327982</v>
      </c>
      <c r="L54" s="94">
        <f>IFERROR(VLOOKUP($B54,Sheet1!$B$3:$M$21,MATCH(Summary!L$45,Sheet1!$B$3:$M$3,0),0),0)</f>
        <v>0</v>
      </c>
      <c r="M54" s="94">
        <f>IFERROR(VLOOKUP($B54,Sheet1!$B$3:$M$21,MATCH(Summary!M$45,Sheet1!$B$3:$M$3,0),0),0)</f>
        <v>0</v>
      </c>
      <c r="N54" s="94">
        <f>IFERROR(VLOOKUP($B54,Sheet1!$B$3:$M$21,MATCH(Summary!N$45,Sheet1!$B$3:$M$3,0),0),0)</f>
        <v>0</v>
      </c>
      <c r="O54" s="94">
        <f>IFERROR(VLOOKUP($B54,Sheet1!$B$3:$M$21,MATCH(Summary!O$45,Sheet1!$B$3:$M$3,0),0),0)</f>
        <v>0</v>
      </c>
      <c r="P54" s="94">
        <f>IFERROR(VLOOKUP($B54,Sheet1!$B$3:$M$21,MATCH(Summary!P$45,Sheet1!$B$3:$M$3,0),0),0)</f>
        <v>0</v>
      </c>
      <c r="Q54" s="94">
        <f>IFERROR(VLOOKUP($B54,Sheet1!$B$3:$M$21,MATCH(Summary!Q$45,Sheet1!$B$3:$M$3,0),0),0)</f>
        <v>0</v>
      </c>
      <c r="R54" s="94">
        <f>IFERROR(VLOOKUP($B54,Sheet1!$B$3:$M$21,MATCH(Summary!R$45,Sheet1!$B$3:$M$3,0),0),0)</f>
        <v>0</v>
      </c>
      <c r="S54" s="94">
        <f>IFERROR(VLOOKUP($B54,Sheet1!$B$3:$M$21,MATCH(Summary!S$45,Sheet1!$B$3:$M$3,0),0),0)</f>
        <v>0</v>
      </c>
      <c r="T54" s="94">
        <f>IFERROR(VLOOKUP($B54,Sheet1!$B$3:$M$21,MATCH(Summary!T$45,Sheet1!$B$3:$M$3,0),0),0)</f>
        <v>0</v>
      </c>
      <c r="U54" s="95">
        <f t="shared" si="20"/>
        <v>61193682</v>
      </c>
      <c r="V54" s="95">
        <f t="shared" si="21"/>
        <v>68638506.280000001</v>
      </c>
      <c r="W54" s="107">
        <f t="shared" si="22"/>
        <v>0</v>
      </c>
      <c r="X54" s="106">
        <f>+VLOOKUP(B54,Sheet1!$B$3:$M$21,MATCH("grand Total",Sheet1!$B$3:$M$3,0),0)</f>
        <v>61193682</v>
      </c>
      <c r="Y54" s="106">
        <f t="shared" si="23"/>
        <v>0</v>
      </c>
    </row>
    <row r="55" spans="2:25" ht="15.75" hidden="1" customHeight="1" thickBot="1" x14ac:dyDescent="0.3">
      <c r="B55" s="99">
        <v>2014</v>
      </c>
      <c r="D55" s="27">
        <f>VLOOKUP($B55,'COGNOS Data'!$A:$F,3,0)</f>
        <v>5177345265.75</v>
      </c>
      <c r="E55" s="27">
        <f>VLOOKUP($B55,'COGNOS Data'!$A:$F,4,0)</f>
        <v>431223118.99000001</v>
      </c>
      <c r="F55" s="27"/>
      <c r="G55" s="29">
        <f>VLOOKUP($B55,'COGNOS Data'!$A:$F,5,0)</f>
        <v>11102225.42</v>
      </c>
      <c r="H55" s="28">
        <f t="shared" ref="H55:H62" si="24">+H36+J36</f>
        <v>25632801.539999999</v>
      </c>
      <c r="I55" s="28">
        <f>IFERROR(VLOOKUP($B55,'Dacom Data'!$Q$19:$AB$26,MATCH(CONCATENATE("sum of ",Summary!I$26),'Dacom Data'!$Q$19:$AB$19,0),0),0)</f>
        <v>0</v>
      </c>
      <c r="J55" s="28">
        <f>IFERROR(VLOOKUP($B55,'Dacom Data'!$Q$19:$AB$26,MATCH(CONCATENATE("sum of ",Summary!K$26),'Dacom Data'!$Q$19:$AB$19,0),0),0)</f>
        <v>2992002.5799999996</v>
      </c>
      <c r="K55" s="28">
        <f>IFERROR(VLOOKUP($B55,'Dacom Data'!$Q$19:$AB$26,MATCH(CONCATENATE("sum of ",Summary!L$26),'Dacom Data'!$Q$19:$AB$19,0),0),0)</f>
        <v>44122042.634999998</v>
      </c>
      <c r="L55" s="28">
        <f>IFERROR(VLOOKUP($B55,'Dacom Data'!$Q$19:$AB$26,MATCH(CONCATENATE("sum of ",Summary!M$26),'Dacom Data'!$Q$19:$AB$19,0),0),0)</f>
        <v>70556.784999999989</v>
      </c>
      <c r="M55" s="28">
        <f>IFERROR(VLOOKUP($B55,'Dacom Data'!$Q$19:$AB$26,MATCH(CONCATENATE("sum of ",Summary!N$26),'Dacom Data'!$Q$19:$AB$19,0),0),0)</f>
        <v>0</v>
      </c>
      <c r="N55" s="28">
        <f>IFERROR(VLOOKUP($B55,'Dacom Data'!$Q$19:$AB$26,MATCH(CONCATENATE("sum of ",Summary!O$26),'Dacom Data'!$Q$19:$AB$19,0),0),0)</f>
        <v>0</v>
      </c>
      <c r="O55" s="28">
        <f>IFERROR(VLOOKUP($B55,'Dacom Data'!$Q$19:$AB$26,MATCH(CONCATENATE("sum of ",Summary!P$26),'Dacom Data'!$Q$19:$AB$19,0),0),0)</f>
        <v>0</v>
      </c>
      <c r="P55" s="28">
        <f>IFERROR(VLOOKUP($B55,'Dacom Data'!$Q$19:$AB$26,MATCH(CONCATENATE("sum of ",Summary!Q$26),'Dacom Data'!$Q$19:$AB$19,0),0),0)</f>
        <v>0</v>
      </c>
      <c r="Q55" s="28">
        <f>IFERROR(VLOOKUP($B55,'Dacom Data'!$Q$19:$AB$26,MATCH(CONCATENATE("sum of ",Summary!S$26),'Dacom Data'!$Q$19:$AB$19,0),0),0)</f>
        <v>0</v>
      </c>
      <c r="R55" s="28">
        <f>IFERROR(VLOOKUP($B55,'Dacom Data'!$Q$19:$AB$26,MATCH(CONCATENATE("sum of ",Summary!T$26),'Dacom Data'!$Q$19:$AB$19,0),0),0)</f>
        <v>0</v>
      </c>
      <c r="S55" s="28">
        <f>IFERROR(VLOOKUP($B55,'Dacom Data'!$Q$19:$AB$26,MATCH(CONCATENATE("sum of ",Summary!U$26),'Dacom Data'!$Q$19:$AB$19,0),0),0)</f>
        <v>0</v>
      </c>
      <c r="T55" s="28">
        <f>IFERROR(VLOOKUP($B55,'Dacom Data'!$Q$19:$AB$26,MATCH(CONCATENATE("sum of ",Summary!V$26),'Dacom Data'!$Q$19:$AB$19,0),0),0)</f>
        <v>0</v>
      </c>
      <c r="U55" s="29">
        <f t="shared" si="20"/>
        <v>72817403.539999992</v>
      </c>
      <c r="V55" s="29">
        <f t="shared" si="21"/>
        <v>83919628.959999993</v>
      </c>
      <c r="W55" s="96">
        <f t="shared" ref="W55:W60" si="25">+U55-J4</f>
        <v>0</v>
      </c>
      <c r="X55" s="106">
        <f>+VLOOKUP(B55,Sheet1!$B$3:$M$21,MATCH("grand Total",Sheet1!$B$3:$M$3,0),0)</f>
        <v>71157161</v>
      </c>
      <c r="Y55" s="106">
        <f t="shared" ref="Y55:Y62" si="26">+U55-X55</f>
        <v>1660242.5399999917</v>
      </c>
    </row>
    <row r="56" spans="2:25" ht="15.75" hidden="1" customHeight="1" thickBot="1" x14ac:dyDescent="0.3">
      <c r="B56" s="99">
        <v>2015</v>
      </c>
      <c r="D56" s="27">
        <f>VLOOKUP($B56,'COGNOS Data'!$A:$F,3,0)</f>
        <v>5402537959.9499998</v>
      </c>
      <c r="E56" s="27">
        <f>VLOOKUP($B56,'COGNOS Data'!$A:$F,4,0)</f>
        <v>446278627.00999999</v>
      </c>
      <c r="F56" s="27"/>
      <c r="G56" s="29">
        <f>VLOOKUP($B56,'COGNOS Data'!$A:$F,5,0)</f>
        <v>12603982.529999999</v>
      </c>
      <c r="H56" s="28">
        <f t="shared" si="24"/>
        <v>26739246.610000003</v>
      </c>
      <c r="I56" s="28">
        <f>IFERROR(VLOOKUP($B56,'Dacom Data'!$Q$19:$AB$26,MATCH(CONCATENATE("sum of ",Summary!I$26),'Dacom Data'!$Q$19:$AB$19,0),0),0)</f>
        <v>0</v>
      </c>
      <c r="J56" s="28">
        <f>IFERROR(VLOOKUP($B56,'Dacom Data'!$Q$19:$AB$26,MATCH(CONCATENATE("sum of ",Summary!K$26),'Dacom Data'!$Q$19:$AB$19,0),0),0)</f>
        <v>2786345.59</v>
      </c>
      <c r="K56" s="28">
        <f>IFERROR(VLOOKUP($B56,'Dacom Data'!$Q$19:$AB$26,MATCH(CONCATENATE("sum of ",Summary!L$26),'Dacom Data'!$Q$19:$AB$19,0),0),0)</f>
        <v>46710591.099999994</v>
      </c>
      <c r="L56" s="28">
        <f>IFERROR(VLOOKUP($B56,'Dacom Data'!$Q$19:$AB$26,MATCH(CONCATENATE("sum of ",Summary!M$26),'Dacom Data'!$Q$19:$AB$19,0),0),0)</f>
        <v>376000.33999999997</v>
      </c>
      <c r="M56" s="28">
        <f>IFERROR(VLOOKUP($B56,'Dacom Data'!$Q$19:$AB$26,MATCH(CONCATENATE("sum of ",Summary!N$26),'Dacom Data'!$Q$19:$AB$19,0),0),0)</f>
        <v>0</v>
      </c>
      <c r="N56" s="28">
        <f>IFERROR(VLOOKUP($B56,'Dacom Data'!$Q$19:$AB$26,MATCH(CONCATENATE("sum of ",Summary!O$26),'Dacom Data'!$Q$19:$AB$19,0),0),0)</f>
        <v>150044.60999999999</v>
      </c>
      <c r="O56" s="28">
        <f>IFERROR(VLOOKUP($B56,'Dacom Data'!$Q$19:$AB$26,MATCH(CONCATENATE("sum of ",Summary!P$26),'Dacom Data'!$Q$19:$AB$19,0),0),0)</f>
        <v>0</v>
      </c>
      <c r="P56" s="28">
        <f>IFERROR(VLOOKUP($B56,'Dacom Data'!$Q$19:$AB$26,MATCH(CONCATENATE("sum of ",Summary!Q$26),'Dacom Data'!$Q$19:$AB$19,0),0),0)</f>
        <v>0</v>
      </c>
      <c r="Q56" s="28">
        <f>IFERROR(VLOOKUP($B56,'Dacom Data'!$Q$19:$AB$26,MATCH(CONCATENATE("sum of ",Summary!S$26),'Dacom Data'!$Q$19:$AB$19,0),0),0)</f>
        <v>0</v>
      </c>
      <c r="R56" s="28">
        <f>IFERROR(VLOOKUP($B56,'Dacom Data'!$Q$19:$AB$26,MATCH(CONCATENATE("sum of ",Summary!T$26),'Dacom Data'!$Q$19:$AB$19,0),0),0)</f>
        <v>0</v>
      </c>
      <c r="S56" s="28">
        <f>IFERROR(VLOOKUP($B56,'Dacom Data'!$Q$19:$AB$26,MATCH(CONCATENATE("sum of ",Summary!U$26),'Dacom Data'!$Q$19:$AB$19,0),0),0)</f>
        <v>0</v>
      </c>
      <c r="T56" s="28">
        <f>IFERROR(VLOOKUP($B56,'Dacom Data'!$Q$19:$AB$26,MATCH(CONCATENATE("sum of ",Summary!V$26),'Dacom Data'!$Q$19:$AB$19,0),0),0)</f>
        <v>0</v>
      </c>
      <c r="U56" s="29">
        <f t="shared" si="20"/>
        <v>76762228.25</v>
      </c>
      <c r="V56" s="29">
        <f t="shared" si="21"/>
        <v>89366210.780000001</v>
      </c>
      <c r="W56" s="96">
        <f t="shared" si="25"/>
        <v>0</v>
      </c>
      <c r="X56" s="106">
        <f>+VLOOKUP(B56,Sheet1!$B$3:$M$21,MATCH("grand Total",Sheet1!$B$3:$M$3,0),0)</f>
        <v>76340694</v>
      </c>
      <c r="Y56" s="106">
        <f t="shared" si="26"/>
        <v>421534.25</v>
      </c>
    </row>
    <row r="57" spans="2:25" ht="15.75" hidden="1" customHeight="1" thickBot="1" x14ac:dyDescent="0.3">
      <c r="B57" s="99">
        <v>2016</v>
      </c>
      <c r="D57" s="27">
        <f>VLOOKUP($B57,'COGNOS Data'!$A:$F,3,0)</f>
        <v>5514933568.9899998</v>
      </c>
      <c r="E57" s="27">
        <f>VLOOKUP($B57,'COGNOS Data'!$A:$F,4,0)</f>
        <v>459432566.57999998</v>
      </c>
      <c r="F57" s="27"/>
      <c r="G57" s="29">
        <f>VLOOKUP($B57,'COGNOS Data'!$A:$F,5,0)</f>
        <v>12624702.859999999</v>
      </c>
      <c r="H57" s="28">
        <f t="shared" si="24"/>
        <v>25961174.460000001</v>
      </c>
      <c r="I57" s="28">
        <f>IFERROR(VLOOKUP($B57,'Dacom Data'!$Q$19:$AB$26,MATCH(CONCATENATE("sum of ",Summary!I$26),'Dacom Data'!$Q$19:$AB$19,0),0),0)</f>
        <v>0</v>
      </c>
      <c r="J57" s="28">
        <f>IFERROR(VLOOKUP($B57,'Dacom Data'!$Q$19:$AB$26,MATCH(CONCATENATE("sum of ",Summary!K$26),'Dacom Data'!$Q$19:$AB$19,0),0),0)</f>
        <v>2986128.7900000005</v>
      </c>
      <c r="K57" s="28">
        <f>IFERROR(VLOOKUP($B57,'Dacom Data'!$Q$19:$AB$26,MATCH(CONCATENATE("sum of ",Summary!L$26),'Dacom Data'!$Q$19:$AB$19,0),0),0)</f>
        <v>46065714.960000008</v>
      </c>
      <c r="L57" s="28">
        <f>IFERROR(VLOOKUP($B57,'Dacom Data'!$Q$19:$AB$26,MATCH(CONCATENATE("sum of ",Summary!M$26),'Dacom Data'!$Q$19:$AB$19,0),0),0)</f>
        <v>1464424.1600000001</v>
      </c>
      <c r="M57" s="28">
        <f>IFERROR(VLOOKUP($B57,'Dacom Data'!$Q$19:$AB$26,MATCH(CONCATENATE("sum of ",Summary!N$26),'Dacom Data'!$Q$19:$AB$19,0),0),0)</f>
        <v>0</v>
      </c>
      <c r="N57" s="28">
        <f>IFERROR(VLOOKUP($B57,'Dacom Data'!$Q$19:$AB$26,MATCH(CONCATENATE("sum of ",Summary!O$26),'Dacom Data'!$Q$19:$AB$19,0),0),0)</f>
        <v>631177.99</v>
      </c>
      <c r="O57" s="28">
        <f>IFERROR(VLOOKUP($B57,'Dacom Data'!$Q$19:$AB$26,MATCH(CONCATENATE("sum of ",Summary!P$26),'Dacom Data'!$Q$19:$AB$19,0),0),0)</f>
        <v>0</v>
      </c>
      <c r="P57" s="28">
        <f>IFERROR(VLOOKUP($B57,'Dacom Data'!$Q$19:$AB$26,MATCH(CONCATENATE("sum of ",Summary!Q$26),'Dacom Data'!$Q$19:$AB$19,0),0),0)</f>
        <v>0</v>
      </c>
      <c r="Q57" s="28">
        <f>IFERROR(VLOOKUP($B57,'Dacom Data'!$Q$19:$AB$26,MATCH(CONCATENATE("sum of ",Summary!S$26),'Dacom Data'!$Q$19:$AB$19,0),0),0)</f>
        <v>0</v>
      </c>
      <c r="R57" s="28">
        <f>IFERROR(VLOOKUP($B57,'Dacom Data'!$Q$19:$AB$26,MATCH(CONCATENATE("sum of ",Summary!T$26),'Dacom Data'!$Q$19:$AB$19,0),0),0)</f>
        <v>0</v>
      </c>
      <c r="S57" s="28">
        <f>IFERROR(VLOOKUP($B57,'Dacom Data'!$Q$19:$AB$26,MATCH(CONCATENATE("sum of ",Summary!U$26),'Dacom Data'!$Q$19:$AB$19,0),0),0)</f>
        <v>0</v>
      </c>
      <c r="T57" s="28">
        <f>IFERROR(VLOOKUP($B57,'Dacom Data'!$Q$19:$AB$26,MATCH(CONCATENATE("sum of ",Summary!V$26),'Dacom Data'!$Q$19:$AB$19,0),0),0)</f>
        <v>0</v>
      </c>
      <c r="U57" s="29">
        <f t="shared" si="20"/>
        <v>77108620.359999999</v>
      </c>
      <c r="V57" s="29">
        <f t="shared" si="21"/>
        <v>89733323.219999999</v>
      </c>
      <c r="W57" s="96">
        <f t="shared" si="25"/>
        <v>0</v>
      </c>
      <c r="X57" s="106">
        <f>+VLOOKUP(B57,Sheet1!$B$3:$M$21,MATCH("grand Total",Sheet1!$B$3:$M$3,0),0)</f>
        <v>75334336</v>
      </c>
      <c r="Y57" s="106">
        <f t="shared" si="26"/>
        <v>1774284.3599999994</v>
      </c>
    </row>
    <row r="58" spans="2:25" ht="15.75" hidden="1" customHeight="1" thickBot="1" x14ac:dyDescent="0.3">
      <c r="B58" s="99">
        <v>2017</v>
      </c>
      <c r="D58" s="27">
        <f>VLOOKUP($B58,'COGNOS Data'!$A:$F,3,0)</f>
        <v>5468326234.6000004</v>
      </c>
      <c r="E58" s="27">
        <f>VLOOKUP($B58,'COGNOS Data'!$A:$F,4,0)</f>
        <v>444962154.55000001</v>
      </c>
      <c r="F58" s="27"/>
      <c r="G58" s="29">
        <f>VLOOKUP($B58,'COGNOS Data'!$A:$F,5,0)</f>
        <v>11221333.98</v>
      </c>
      <c r="H58" s="28">
        <f t="shared" si="24"/>
        <v>23679647.640000004</v>
      </c>
      <c r="I58" s="28">
        <f>IFERROR(VLOOKUP($B58,'Dacom Data'!$Q$19:$AB$26,MATCH(CONCATENATE("sum of ",Summary!I$26),'Dacom Data'!$Q$19:$AB$19,0),0),0)</f>
        <v>0</v>
      </c>
      <c r="J58" s="28">
        <f>IFERROR(VLOOKUP($B58,'Dacom Data'!$Q$19:$AB$26,MATCH(CONCATENATE("sum of ",Summary!K$26),'Dacom Data'!$Q$19:$AB$19,0),0),0)</f>
        <v>2553433.17</v>
      </c>
      <c r="K58" s="28">
        <f>IFERROR(VLOOKUP($B58,'Dacom Data'!$Q$19:$AB$26,MATCH(CONCATENATE("sum of ",Summary!L$26),'Dacom Data'!$Q$19:$AB$19,0),0),0)</f>
        <v>52378458.169999994</v>
      </c>
      <c r="L58" s="28">
        <f>IFERROR(VLOOKUP($B58,'Dacom Data'!$Q$19:$AB$26,MATCH(CONCATENATE("sum of ",Summary!M$26),'Dacom Data'!$Q$19:$AB$19,0),0),0)</f>
        <v>1504659.17</v>
      </c>
      <c r="M58" s="28">
        <f>IFERROR(VLOOKUP($B58,'Dacom Data'!$Q$19:$AB$26,MATCH(CONCATENATE("sum of ",Summary!N$26),'Dacom Data'!$Q$19:$AB$19,0),0),0)</f>
        <v>272588.11</v>
      </c>
      <c r="N58" s="28">
        <f>IFERROR(VLOOKUP($B58,'Dacom Data'!$Q$19:$AB$26,MATCH(CONCATENATE("sum of ",Summary!O$26),'Dacom Data'!$Q$19:$AB$19,0),0),0)</f>
        <v>1023253.4699999999</v>
      </c>
      <c r="O58" s="28">
        <f>IFERROR(VLOOKUP($B58,'Dacom Data'!$Q$19:$AB$26,MATCH(CONCATENATE("sum of ",Summary!P$26),'Dacom Data'!$Q$19:$AB$19,0),0),0)</f>
        <v>0</v>
      </c>
      <c r="P58" s="28">
        <f>IFERROR(VLOOKUP($B58,'Dacom Data'!$Q$19:$AB$26,MATCH(CONCATENATE("sum of ",Summary!Q$26),'Dacom Data'!$Q$19:$AB$19,0),0),0)</f>
        <v>0</v>
      </c>
      <c r="Q58" s="28">
        <f>IFERROR(VLOOKUP($B58,'Dacom Data'!$Q$19:$AB$26,MATCH(CONCATENATE("sum of ",Summary!S$26),'Dacom Data'!$Q$19:$AB$19,0),0),0)</f>
        <v>0</v>
      </c>
      <c r="R58" s="28">
        <f>IFERROR(VLOOKUP($B58,'Dacom Data'!$Q$19:$AB$26,MATCH(CONCATENATE("sum of ",Summary!T$26),'Dacom Data'!$Q$19:$AB$19,0),0),0)</f>
        <v>0</v>
      </c>
      <c r="S58" s="28">
        <f>IFERROR(VLOOKUP($B58,'Dacom Data'!$Q$19:$AB$26,MATCH(CONCATENATE("sum of ",Summary!U$26),'Dacom Data'!$Q$19:$AB$19,0),0),0)</f>
        <v>0</v>
      </c>
      <c r="T58" s="28">
        <f>IFERROR(VLOOKUP($B58,'Dacom Data'!$Q$19:$AB$26,MATCH(CONCATENATE("sum of ",Summary!V$26),'Dacom Data'!$Q$19:$AB$19,0),0),0)</f>
        <v>0</v>
      </c>
      <c r="U58" s="29">
        <f t="shared" si="20"/>
        <v>81412039.729999989</v>
      </c>
      <c r="V58" s="29">
        <f t="shared" si="21"/>
        <v>92633373.709999993</v>
      </c>
      <c r="W58" s="96">
        <f t="shared" si="25"/>
        <v>0</v>
      </c>
      <c r="X58" s="106">
        <f>+VLOOKUP(B58,Sheet1!$B$3:$M$21,MATCH("grand Total",Sheet1!$B$3:$M$3,0),0)</f>
        <v>79112088</v>
      </c>
      <c r="Y58" s="106">
        <f t="shared" si="26"/>
        <v>2299951.7299999893</v>
      </c>
    </row>
    <row r="59" spans="2:25" ht="15.75" hidden="1" customHeight="1" thickBot="1" x14ac:dyDescent="0.3">
      <c r="B59" s="99">
        <v>2018</v>
      </c>
      <c r="D59" s="27">
        <f>VLOOKUP($B59,'COGNOS Data'!$A:$F,3,0)</f>
        <v>5551893797.1499996</v>
      </c>
      <c r="E59" s="27">
        <f>VLOOKUP($B59,'COGNOS Data'!$A:$F,4,0)</f>
        <v>445511202.79000002</v>
      </c>
      <c r="F59" s="27"/>
      <c r="G59" s="29">
        <f>VLOOKUP($B59,'COGNOS Data'!$A:$F,5,0)</f>
        <v>11761352.43</v>
      </c>
      <c r="H59" s="28">
        <f t="shared" si="24"/>
        <v>23410326.359999999</v>
      </c>
      <c r="I59" s="28">
        <f>IFERROR(VLOOKUP($B59,'Dacom Data'!$Q$19:$AB$26,MATCH(CONCATENATE("sum of ",Summary!I$26),'Dacom Data'!$Q$19:$AB$19,0),0),0)</f>
        <v>0.04</v>
      </c>
      <c r="J59" s="28">
        <f>IFERROR(VLOOKUP($B59,'Dacom Data'!$Q$19:$AB$26,MATCH(CONCATENATE("sum of ",Summary!K$26),'Dacom Data'!$Q$19:$AB$19,0),0),0)</f>
        <v>1427504.9999999998</v>
      </c>
      <c r="K59" s="28">
        <f>IFERROR(VLOOKUP($B59,'Dacom Data'!$Q$19:$AB$26,MATCH(CONCATENATE("sum of ",Summary!L$26),'Dacom Data'!$Q$19:$AB$19,0),0),0)</f>
        <v>51975553.07</v>
      </c>
      <c r="L59" s="28">
        <f>IFERROR(VLOOKUP($B59,'Dacom Data'!$Q$19:$AB$26,MATCH(CONCATENATE("sum of ",Summary!M$26),'Dacom Data'!$Q$19:$AB$19,0),0),0)</f>
        <v>1177060.4199999997</v>
      </c>
      <c r="M59" s="28">
        <f>IFERROR(VLOOKUP($B59,'Dacom Data'!$Q$19:$AB$26,MATCH(CONCATENATE("sum of ",Summary!N$26),'Dacom Data'!$Q$19:$AB$19,0),0),0)</f>
        <v>2487372.75</v>
      </c>
      <c r="N59" s="28">
        <f>IFERROR(VLOOKUP($B59,'Dacom Data'!$Q$19:$AB$26,MATCH(CONCATENATE("sum of ",Summary!O$26),'Dacom Data'!$Q$19:$AB$19,0),0),0)</f>
        <v>623242.80000000005</v>
      </c>
      <c r="O59" s="28">
        <f>IFERROR(VLOOKUP($B59,'Dacom Data'!$Q$19:$AB$26,MATCH(CONCATENATE("sum of ",Summary!P$26),'Dacom Data'!$Q$19:$AB$19,0),0),0)</f>
        <v>301555</v>
      </c>
      <c r="P59" s="28">
        <f>IFERROR(VLOOKUP($B59,'Dacom Data'!$Q$19:$AB$26,MATCH(CONCATENATE("sum of ",Summary!Q$26),'Dacom Data'!$Q$19:$AB$19,0),0),0)</f>
        <v>187540</v>
      </c>
      <c r="Q59" s="28">
        <f>IFERROR(VLOOKUP($B59,'Dacom Data'!$Q$19:$AB$26,MATCH(CONCATENATE("sum of ",Summary!S$26),'Dacom Data'!$Q$19:$AB$19,0),0),0)</f>
        <v>0</v>
      </c>
      <c r="R59" s="28">
        <f>IFERROR(VLOOKUP($B59,'Dacom Data'!$Q$19:$AB$26,MATCH(CONCATENATE("sum of ",Summary!T$26),'Dacom Data'!$Q$19:$AB$19,0),0),0)</f>
        <v>0</v>
      </c>
      <c r="S59" s="28">
        <f>IFERROR(VLOOKUP($B59,'Dacom Data'!$Q$19:$AB$26,MATCH(CONCATENATE("sum of ",Summary!U$26),'Dacom Data'!$Q$19:$AB$19,0),0),0)</f>
        <v>0</v>
      </c>
      <c r="T59" s="28">
        <f>IFERROR(VLOOKUP($B59,'Dacom Data'!$Q$19:$AB$26,MATCH(CONCATENATE("sum of ",Summary!V$26),'Dacom Data'!$Q$19:$AB$19,0),0),0)</f>
        <v>0</v>
      </c>
      <c r="U59" s="29">
        <f t="shared" si="20"/>
        <v>81590155.439999998</v>
      </c>
      <c r="V59" s="29">
        <f t="shared" si="21"/>
        <v>93351507.870000005</v>
      </c>
      <c r="W59" s="96">
        <f t="shared" si="25"/>
        <v>0</v>
      </c>
      <c r="X59" s="106">
        <f>+VLOOKUP(B59,Sheet1!$B$3:$M$21,MATCH("grand Total",Sheet1!$B$3:$M$3,0),0)</f>
        <v>79739843</v>
      </c>
      <c r="Y59" s="106">
        <f t="shared" si="26"/>
        <v>1850312.4399999976</v>
      </c>
    </row>
    <row r="60" spans="2:25" ht="15.75" hidden="1" customHeight="1" thickBot="1" x14ac:dyDescent="0.3">
      <c r="B60" s="99">
        <v>2019</v>
      </c>
      <c r="D60" s="27">
        <f>VLOOKUP($B60,'COGNOS Data'!$A:$F,3,0)</f>
        <v>5851909080.8599997</v>
      </c>
      <c r="E60" s="27">
        <f>VLOOKUP($B60,'COGNOS Data'!$A:$F,4,0)</f>
        <v>459123839.61000001</v>
      </c>
      <c r="F60" s="27"/>
      <c r="G60" s="29">
        <f>VLOOKUP($B60,'COGNOS Data'!$A:$F,5,0)</f>
        <v>12795304.5</v>
      </c>
      <c r="H60" s="28">
        <f t="shared" si="24"/>
        <v>23402647.680000003</v>
      </c>
      <c r="I60" s="28">
        <f>IFERROR(VLOOKUP($B60,'Dacom Data'!$Q$19:$AB$26,MATCH(CONCATENATE("sum of ",Summary!I$26),'Dacom Data'!$Q$19:$AB$19,0),0),0)</f>
        <v>58229.979999999989</v>
      </c>
      <c r="J60" s="28">
        <f>IFERROR(VLOOKUP($B60,'Dacom Data'!$Q$19:$AB$26,MATCH(CONCATENATE("sum of ",Summary!K$26),'Dacom Data'!$Q$19:$AB$19,0),0),0)</f>
        <v>1125856.94</v>
      </c>
      <c r="K60" s="28">
        <f>IFERROR(VLOOKUP($B60,'Dacom Data'!$Q$19:$AB$26,MATCH(CONCATENATE("sum of ",Summary!L$26),'Dacom Data'!$Q$19:$AB$19,0),0),0)</f>
        <v>47592059.719999999</v>
      </c>
      <c r="L60" s="28">
        <f>IFERROR(VLOOKUP($B60,'Dacom Data'!$Q$19:$AB$26,MATCH(CONCATENATE("sum of ",Summary!M$26),'Dacom Data'!$Q$19:$AB$19,0),0),0)</f>
        <v>418367.24</v>
      </c>
      <c r="M60" s="28">
        <f>IFERROR(VLOOKUP($B60,'Dacom Data'!$Q$19:$AB$26,MATCH(CONCATENATE("sum of ",Summary!N$26),'Dacom Data'!$Q$19:$AB$19,0),0),0)</f>
        <v>2927373.8799999994</v>
      </c>
      <c r="N60" s="28">
        <f>IFERROR(VLOOKUP($B60,'Dacom Data'!$Q$19:$AB$26,MATCH(CONCATENATE("sum of ",Summary!O$26),'Dacom Data'!$Q$19:$AB$19,0),0),0)</f>
        <v>278031.09000000003</v>
      </c>
      <c r="O60" s="28">
        <f>IFERROR(VLOOKUP($B60,'Dacom Data'!$Q$19:$AB$26,MATCH(CONCATENATE("sum of ",Summary!P$26),'Dacom Data'!$Q$19:$AB$19,0),0),0)</f>
        <v>549340</v>
      </c>
      <c r="P60" s="28">
        <f>IFERROR(VLOOKUP($B60,'Dacom Data'!$Q$19:$AB$26,MATCH(CONCATENATE("sum of ",Summary!Q$26),'Dacom Data'!$Q$19:$AB$19,0),0),0)</f>
        <v>0</v>
      </c>
      <c r="Q60" s="28">
        <f>IFERROR(VLOOKUP($B60,'Dacom Data'!$Q$19:$AB$26,MATCH(CONCATENATE("sum of ",Summary!S$26),'Dacom Data'!$Q$19:$AB$19,0),0),0)</f>
        <v>0</v>
      </c>
      <c r="R60" s="28">
        <f>IFERROR(VLOOKUP($B60,'Dacom Data'!$Q$19:$AB$26,MATCH(CONCATENATE("sum of ",Summary!T$26),'Dacom Data'!$Q$19:$AB$19,0),0),0)</f>
        <v>0</v>
      </c>
      <c r="S60" s="28">
        <f>IFERROR(VLOOKUP($B60,'Dacom Data'!$Q$19:$AB$26,MATCH(CONCATENATE("sum of ",Summary!U$26),'Dacom Data'!$Q$19:$AB$19,0),0),0)</f>
        <v>0</v>
      </c>
      <c r="T60" s="28">
        <f>IFERROR(VLOOKUP($B60,'Dacom Data'!$Q$19:$AB$26,MATCH(CONCATENATE("sum of ",Summary!V$26),'Dacom Data'!$Q$19:$AB$19,0),0),0)</f>
        <v>0</v>
      </c>
      <c r="U60" s="29">
        <f t="shared" si="20"/>
        <v>76351906.530000001</v>
      </c>
      <c r="V60" s="29">
        <f t="shared" si="21"/>
        <v>89147211.030000001</v>
      </c>
      <c r="W60" s="96">
        <f t="shared" si="25"/>
        <v>0</v>
      </c>
      <c r="X60" s="106">
        <f>+VLOOKUP(B60,Sheet1!$B$3:$M$21,MATCH("grand Total",Sheet1!$B$3:$M$3,0),0)</f>
        <v>75346947</v>
      </c>
      <c r="Y60" s="106">
        <f t="shared" si="26"/>
        <v>1004959.5300000012</v>
      </c>
    </row>
    <row r="61" spans="2:25" ht="15.75" hidden="1" customHeight="1" thickBot="1" x14ac:dyDescent="0.3">
      <c r="B61" s="99">
        <v>2020</v>
      </c>
      <c r="D61" s="27">
        <f>VLOOKUP($B61,'COGNOS Data'!$A:$F,3,0)</f>
        <v>4460847923.75</v>
      </c>
      <c r="E61" s="27">
        <f>VLOOKUP($B61,'COGNOS Data'!$A:$F,4,0)</f>
        <v>339599506.88</v>
      </c>
      <c r="F61" s="27"/>
      <c r="G61" s="29">
        <f>VLOOKUP($B61,'COGNOS Data'!$A:$F,5,0)</f>
        <v>8680347.8100000005</v>
      </c>
      <c r="H61" s="28">
        <f t="shared" si="24"/>
        <v>15877632.569999998</v>
      </c>
      <c r="I61" s="28">
        <f>IFERROR(VLOOKUP($B61,'Dacom Data'!$Q$19:$AB$26,MATCH(CONCATENATE("sum of ",Summary!I$26),'Dacom Data'!$Q$19:$AB$19,0),0),0)</f>
        <v>26.98</v>
      </c>
      <c r="J61" s="28">
        <f>IFERROR(VLOOKUP($B61,'Dacom Data'!$Q$19:$AB$26,MATCH(CONCATENATE("sum of ",Summary!K$26),'Dacom Data'!$Q$19:$AB$19,0),0),0)</f>
        <v>805370.31</v>
      </c>
      <c r="K61" s="28">
        <f>IFERROR(VLOOKUP($B61,'Dacom Data'!$Q$19:$AB$26,MATCH(CONCATENATE("sum of ",Summary!L$26),'Dacom Data'!$Q$19:$AB$19,0),0),0)</f>
        <v>37874039.150000006</v>
      </c>
      <c r="L61" s="28">
        <f>IFERROR(VLOOKUP($B61,'Dacom Data'!$Q$19:$AB$26,MATCH(CONCATENATE("sum of ",Summary!M$26),'Dacom Data'!$Q$19:$AB$19,0),0),0)</f>
        <v>886496.18999999983</v>
      </c>
      <c r="M61" s="28">
        <f>IFERROR(VLOOKUP($B61,'Dacom Data'!$Q$19:$AB$26,MATCH(CONCATENATE("sum of ",Summary!N$26),'Dacom Data'!$Q$19:$AB$19,0),0),0)</f>
        <v>2021167.62</v>
      </c>
      <c r="N61" s="28">
        <f>IFERROR(VLOOKUP($B61,'Dacom Data'!$Q$19:$AB$26,MATCH(CONCATENATE("sum of ",Summary!O$26),'Dacom Data'!$Q$19:$AB$19,0),0),0)</f>
        <v>181002.77000000002</v>
      </c>
      <c r="O61" s="28">
        <f>IFERROR(VLOOKUP($B61,'Dacom Data'!$Q$19:$AB$26,MATCH(CONCATENATE("sum of ",Summary!P$26),'Dacom Data'!$Q$19:$AB$19,0),0),0)</f>
        <v>398667</v>
      </c>
      <c r="P61" s="28">
        <f>IFERROR(VLOOKUP($B61,'Dacom Data'!$Q$19:$AB$26,MATCH(CONCATENATE("sum of ",Summary!Q$26),'Dacom Data'!$Q$19:$AB$19,0),0),0)</f>
        <v>0</v>
      </c>
      <c r="Q61" s="28">
        <f>IFERROR(VLOOKUP($B61,'Dacom Data'!$Q$19:$AB$26,MATCH(CONCATENATE("sum of ",Summary!S$26),'Dacom Data'!$Q$19:$AB$19,0),0),0)</f>
        <v>0</v>
      </c>
      <c r="R61" s="28">
        <f>IFERROR(VLOOKUP($B61,'Dacom Data'!$Q$19:$AB$26,MATCH(CONCATENATE("sum of ",Summary!T$26),'Dacom Data'!$Q$19:$AB$19,0),0),0)</f>
        <v>0</v>
      </c>
      <c r="S61" s="28">
        <f>IFERROR(VLOOKUP($B61,'Dacom Data'!$Q$19:$AB$26,MATCH(CONCATENATE("sum of ",Summary!U$26),'Dacom Data'!$Q$19:$AB$19,0),0),0)</f>
        <v>0</v>
      </c>
      <c r="T61" s="28">
        <f>IFERROR(VLOOKUP($B61,'Dacom Data'!$Q$19:$AB$26,MATCH(CONCATENATE("sum of ",Summary!V$26),'Dacom Data'!$Q$19:$AB$19,0),0),0)</f>
        <v>0</v>
      </c>
      <c r="U61" s="29">
        <f t="shared" si="20"/>
        <v>58044402.590000004</v>
      </c>
      <c r="V61" s="29">
        <f t="shared" si="21"/>
        <v>66724750.400000006</v>
      </c>
      <c r="X61" s="106">
        <f>+VLOOKUP(B61,Sheet1!$B$3:$M$21,MATCH("grand Total",Sheet1!$B$3:$M$3,0),0)</f>
        <v>56642592</v>
      </c>
      <c r="Y61" s="106">
        <f t="shared" si="26"/>
        <v>1401810.5900000036</v>
      </c>
    </row>
    <row r="62" spans="2:25" ht="15.75" hidden="1" customHeight="1" thickBot="1" x14ac:dyDescent="0.3">
      <c r="B62" s="99">
        <v>2021</v>
      </c>
      <c r="D62" s="27">
        <v>898497511.26999998</v>
      </c>
      <c r="E62" s="27">
        <v>72025789.390000001</v>
      </c>
      <c r="F62" s="27"/>
      <c r="G62" s="29">
        <f>VLOOKUP($B62,'COGNOS Data'!$A:$F,5,0)</f>
        <v>1226417.51</v>
      </c>
      <c r="H62" s="28">
        <f t="shared" si="24"/>
        <v>808141.54</v>
      </c>
      <c r="I62" s="28">
        <f>IFERROR(VLOOKUP($B62,'Dacom Data'!$Q$19:$AB$26,MATCH(CONCATENATE("sum of ",Summary!I$26),'Dacom Data'!$Q$19:$AB$19,0),0),0)</f>
        <v>0</v>
      </c>
      <c r="J62" s="28">
        <f>IFERROR(VLOOKUP($B62,'Dacom Data'!$Q$19:$AB$29,MATCH(CONCATENATE("sum of ",Summary!K$26),'Dacom Data'!$Q$19:$AB$19,0),0),0)</f>
        <v>0</v>
      </c>
      <c r="K62" s="28">
        <f>IFERROR(VLOOKUP($B62,'Dacom Data'!$Q$19:$AB$29,MATCH(CONCATENATE("sum of ",Summary!L$26),'Dacom Data'!$Q$19:$AB$19,0),0),0)</f>
        <v>11249585.810000001</v>
      </c>
      <c r="L62" s="28">
        <f>IFERROR(VLOOKUP($B62,'Dacom Data'!$Q$19:$AB$29,MATCH(CONCATENATE("sum of ",Summary!M$26),'Dacom Data'!$Q$19:$AB$19,0),0),0)</f>
        <v>1347.48</v>
      </c>
      <c r="M62" s="28">
        <f>IFERROR(VLOOKUP($B62,'Dacom Data'!$Q$19:$AB$29,MATCH(CONCATENATE("sum of ",Summary!N$26),'Dacom Data'!$Q$19:$AB$19,0),0),0)</f>
        <v>180798.6</v>
      </c>
      <c r="N62" s="28">
        <f>IFERROR(VLOOKUP($B62,'Dacom Data'!$Q$19:$AB$29,MATCH(CONCATENATE("sum of ",Summary!O$26),'Dacom Data'!$Q$19:$AB$19,0),0),0)</f>
        <v>0</v>
      </c>
      <c r="O62" s="28">
        <f>IFERROR(VLOOKUP($B62,'Dacom Data'!$Q$19:$AB$29,MATCH(CONCATENATE("sum of ",Summary!P$26),'Dacom Data'!$Q$19:$AB$19,0),0),0)</f>
        <v>56315</v>
      </c>
      <c r="P62" s="28">
        <f>IFERROR(VLOOKUP($B62,'Dacom Data'!$Q$19:$AB$29,MATCH(CONCATENATE("sum of ",Summary!Q$26),'Dacom Data'!$Q$19:$AB$19,0),0),0)</f>
        <v>0</v>
      </c>
      <c r="Q62" s="28">
        <f>IFERROR(VLOOKUP($B62,'Dacom Data'!$Q$19:$AB$29,MATCH(CONCATENATE("sum of ",Summary!S$26),'Dacom Data'!$Q$19:$AB$19,0),0),0)</f>
        <v>0</v>
      </c>
      <c r="R62" s="28">
        <f>IFERROR(VLOOKUP($B62,'Dacom Data'!$Q$19:$AB$29,MATCH(CONCATENATE("sum of ",Summary!T$26),'Dacom Data'!$Q$19:$AB$19,0),0),0)</f>
        <v>0</v>
      </c>
      <c r="S62" s="28">
        <f>IFERROR(VLOOKUP($B62,'Dacom Data'!$Q$19:$AB$29,MATCH(CONCATENATE("sum of ",Summary!U$26),'Dacom Data'!$Q$19:$AB$19,0),0),0)</f>
        <v>0</v>
      </c>
      <c r="T62" s="28">
        <f>IFERROR(VLOOKUP($B62,'Dacom Data'!$Q$19:$AB$29,MATCH(CONCATENATE("sum of ",Summary!V$26),'Dacom Data'!$Q$19:$AB$19,0),0),0)</f>
        <v>0</v>
      </c>
      <c r="U62" s="29">
        <f t="shared" si="20"/>
        <v>12296188.430000002</v>
      </c>
      <c r="V62" s="29">
        <f t="shared" si="21"/>
        <v>13522605.940000001</v>
      </c>
      <c r="X62" s="106">
        <f>+VLOOKUP(B62,Sheet1!$B$3:$M$21,MATCH("grand Total",Sheet1!$B$3:$M$3,0),0)</f>
        <v>5349566</v>
      </c>
      <c r="Y62" s="106">
        <f t="shared" si="26"/>
        <v>6946622.4300000016</v>
      </c>
    </row>
    <row r="63" spans="2:25" ht="15" hidden="1" customHeight="1" x14ac:dyDescent="0.25"/>
    <row r="64" spans="2:25" x14ac:dyDescent="0.25">
      <c r="C64" t="s">
        <v>154</v>
      </c>
      <c r="G64" s="148">
        <f>G44*0.3172</f>
        <v>28870737.940876</v>
      </c>
      <c r="H64" s="142">
        <f>H44*0.3172</f>
        <v>50762736.008295998</v>
      </c>
      <c r="I64" s="141">
        <f>I44*0.3172</f>
        <v>18479.608887999995</v>
      </c>
      <c r="J64" s="141">
        <f t="shared" ref="J64:S64" si="27">J44*0.3172</f>
        <v>1737549.348184</v>
      </c>
      <c r="K64" s="143">
        <f t="shared" si="27"/>
        <v>5063894.3163639996</v>
      </c>
      <c r="L64" s="144">
        <f t="shared" si="27"/>
        <v>118089342.27882996</v>
      </c>
      <c r="M64" s="141">
        <f t="shared" si="27"/>
        <v>1944067.250242</v>
      </c>
      <c r="N64" s="145">
        <f t="shared" si="27"/>
        <v>2502486.2645119997</v>
      </c>
      <c r="O64" s="146">
        <f t="shared" si="27"/>
        <v>915703.42125599994</v>
      </c>
      <c r="P64" s="147">
        <f t="shared" si="27"/>
        <v>414224.18439999997</v>
      </c>
      <c r="Q64" s="141">
        <f t="shared" si="27"/>
        <v>59487.687999999995</v>
      </c>
      <c r="R64" s="142">
        <f t="shared" si="27"/>
        <v>8089390.011975999</v>
      </c>
      <c r="S64" s="141">
        <f t="shared" si="27"/>
        <v>47.583171999999998</v>
      </c>
    </row>
    <row r="65" spans="2:24" s="127" customFormat="1" x14ac:dyDescent="0.25">
      <c r="G65" s="141"/>
      <c r="T65" s="150">
        <f>SUM(G64:S64)</f>
        <v>218468145.90499595</v>
      </c>
    </row>
    <row r="66" spans="2:24" s="127" customFormat="1" ht="15.75" thickBot="1" x14ac:dyDescent="0.3"/>
    <row r="67" spans="2:24" ht="15.75" thickBot="1" x14ac:dyDescent="0.3">
      <c r="B67" s="130"/>
      <c r="C67" s="138" t="s">
        <v>162</v>
      </c>
      <c r="D67" s="124">
        <f>SUM(D27:D43)</f>
        <v>81071910375.349991</v>
      </c>
      <c r="E67" s="124">
        <f>SUM(E27:E43)</f>
        <v>6735142601.0900002</v>
      </c>
      <c r="G67" s="124">
        <f>SUM(G27:G43)</f>
        <v>91017458.829999998</v>
      </c>
      <c r="H67" s="124">
        <f t="shared" ref="H67:X67" si="28">SUM(H27:H43)</f>
        <v>160033846.18000001</v>
      </c>
      <c r="I67" s="124">
        <f t="shared" si="28"/>
        <v>58258.539999999994</v>
      </c>
      <c r="J67" s="124">
        <f t="shared" si="28"/>
        <v>5477772.2200000007</v>
      </c>
      <c r="K67" s="124">
        <f t="shared" si="28"/>
        <v>51735260.839999996</v>
      </c>
      <c r="L67" s="124">
        <f t="shared" si="28"/>
        <v>553384760.52499998</v>
      </c>
      <c r="M67" s="124">
        <f t="shared" si="28"/>
        <v>6662274.9950000001</v>
      </c>
      <c r="N67" s="124">
        <f t="shared" si="28"/>
        <v>7889300.959999999</v>
      </c>
      <c r="O67" s="124">
        <f t="shared" si="28"/>
        <v>4282489.25</v>
      </c>
      <c r="P67" s="124">
        <f t="shared" si="28"/>
        <v>1305877</v>
      </c>
      <c r="Q67" s="124">
        <f t="shared" si="28"/>
        <v>187540</v>
      </c>
      <c r="R67" s="124">
        <f t="shared" si="28"/>
        <v>323177897.63999999</v>
      </c>
      <c r="S67" s="124">
        <f t="shared" si="28"/>
        <v>2302417.2799999998</v>
      </c>
      <c r="T67" s="124">
        <f t="shared" si="28"/>
        <v>1197265.28</v>
      </c>
      <c r="U67" s="124">
        <f t="shared" si="28"/>
        <v>1424239.73</v>
      </c>
      <c r="V67" s="124">
        <f t="shared" si="28"/>
        <v>1423335.06</v>
      </c>
      <c r="W67" s="124">
        <f t="shared" si="28"/>
        <v>1120542535.5</v>
      </c>
      <c r="X67" s="124">
        <f t="shared" si="28"/>
        <v>1211559994.3300002</v>
      </c>
    </row>
  </sheetData>
  <mergeCells count="5">
    <mergeCell ref="B27:B35"/>
    <mergeCell ref="B36:B43"/>
    <mergeCell ref="N4:S4"/>
    <mergeCell ref="N5:S5"/>
    <mergeCell ref="N6:S6"/>
  </mergeCells>
  <pageMargins left="0.70866141732283472" right="0.70866141732283472" top="0.74803149606299213" bottom="0.74803149606299213" header="0.31496062992125984" footer="0.31496062992125984"/>
  <pageSetup paperSize="8"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G32" sqref="G32"/>
    </sheetView>
  </sheetViews>
  <sheetFormatPr defaultRowHeight="15" x14ac:dyDescent="0.25"/>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12"/>
  <sheetViews>
    <sheetView zoomScale="110" zoomScaleNormal="110" workbookViewId="0">
      <selection activeCell="G32" sqref="G32"/>
    </sheetView>
  </sheetViews>
  <sheetFormatPr defaultRowHeight="12.75" customHeight="1" x14ac:dyDescent="0.2"/>
  <cols>
    <col min="1" max="1" width="9.42578125" style="256" bestFit="1" customWidth="1"/>
    <col min="2" max="15" width="12.7109375" style="256" customWidth="1"/>
    <col min="16" max="16" width="9.140625" style="256"/>
    <col min="17" max="17" width="14.28515625" style="256" bestFit="1" customWidth="1"/>
    <col min="18" max="18" width="10" style="256" customWidth="1"/>
    <col min="19" max="16384" width="9.140625" style="256"/>
  </cols>
  <sheetData>
    <row r="1" spans="1:18" ht="22.5" x14ac:dyDescent="0.2">
      <c r="A1" s="257" t="s">
        <v>268</v>
      </c>
      <c r="B1" s="257" t="s">
        <v>20</v>
      </c>
      <c r="C1" s="257" t="s">
        <v>16</v>
      </c>
      <c r="D1" s="257" t="s">
        <v>19</v>
      </c>
      <c r="E1" s="257" t="s">
        <v>137</v>
      </c>
      <c r="F1" s="257" t="s">
        <v>102</v>
      </c>
      <c r="G1" s="257" t="s">
        <v>141</v>
      </c>
      <c r="H1" s="257" t="s">
        <v>269</v>
      </c>
      <c r="I1" s="257" t="s">
        <v>140</v>
      </c>
      <c r="J1" s="257" t="s">
        <v>270</v>
      </c>
      <c r="K1" s="257" t="s">
        <v>138</v>
      </c>
      <c r="L1" s="257" t="s">
        <v>132</v>
      </c>
      <c r="M1" s="257" t="s">
        <v>111</v>
      </c>
      <c r="N1" s="257" t="s">
        <v>271</v>
      </c>
      <c r="O1" s="257" t="s">
        <v>272</v>
      </c>
      <c r="Q1" s="257" t="s">
        <v>273</v>
      </c>
      <c r="R1" s="257" t="s">
        <v>272</v>
      </c>
    </row>
    <row r="2" spans="1:18" ht="12.75" customHeight="1" x14ac:dyDescent="0.2">
      <c r="A2" s="258">
        <v>2012</v>
      </c>
      <c r="B2" s="259">
        <v>29423378.050000001</v>
      </c>
      <c r="C2" s="259">
        <v>47633.25</v>
      </c>
      <c r="D2" s="259">
        <v>1102393.1299999999</v>
      </c>
      <c r="E2" s="259">
        <v>1164440.1599999999</v>
      </c>
      <c r="F2" s="259">
        <v>29672895.02</v>
      </c>
      <c r="G2" s="259">
        <v>142063.82</v>
      </c>
      <c r="H2" s="259">
        <v>0</v>
      </c>
      <c r="I2" s="259"/>
      <c r="J2" s="259">
        <v>0</v>
      </c>
      <c r="K2" s="259">
        <v>33550</v>
      </c>
      <c r="L2" s="259">
        <v>0</v>
      </c>
      <c r="M2" s="260">
        <f>SUM(B2:L2)</f>
        <v>61586353.43</v>
      </c>
      <c r="N2" s="259">
        <v>61674286.009999998</v>
      </c>
      <c r="O2" s="261">
        <f t="shared" ref="O2:O11" si="0">N2-SUM(B2:L2)</f>
        <v>87932.579999998212</v>
      </c>
      <c r="Q2" s="259">
        <f>[3]SN!L6</f>
        <v>61681692.189999998</v>
      </c>
      <c r="R2" s="261">
        <f>Q2-M2</f>
        <v>95338.759999997914</v>
      </c>
    </row>
    <row r="3" spans="1:18" ht="12.75" customHeight="1" x14ac:dyDescent="0.2">
      <c r="A3" s="258">
        <v>2013</v>
      </c>
      <c r="B3" s="259">
        <v>24588062.73</v>
      </c>
      <c r="C3" s="259">
        <v>80.25</v>
      </c>
      <c r="D3" s="259">
        <v>914348.45</v>
      </c>
      <c r="E3" s="259">
        <v>1287695.49</v>
      </c>
      <c r="F3" s="259">
        <v>34314909.68</v>
      </c>
      <c r="G3" s="259">
        <v>229925.7</v>
      </c>
      <c r="H3" s="259">
        <v>0</v>
      </c>
      <c r="I3" s="259"/>
      <c r="J3" s="259">
        <v>0</v>
      </c>
      <c r="K3" s="259">
        <v>150.01</v>
      </c>
      <c r="L3" s="259">
        <v>7444824.2800000003</v>
      </c>
      <c r="M3" s="260">
        <f t="shared" ref="M3:M11" si="1">SUM(B3:L3)</f>
        <v>68779996.589999989</v>
      </c>
      <c r="N3" s="259">
        <v>68802265.703000009</v>
      </c>
      <c r="O3" s="261">
        <f t="shared" si="0"/>
        <v>22269.113000020385</v>
      </c>
      <c r="Q3" s="259">
        <f>[3]SN!L7</f>
        <v>68826489.760000005</v>
      </c>
      <c r="R3" s="261">
        <f t="shared" ref="R3:R11" si="2">Q3-M3</f>
        <v>46493.170000016689</v>
      </c>
    </row>
    <row r="4" spans="1:18" ht="12.75" customHeight="1" x14ac:dyDescent="0.2">
      <c r="A4" s="258">
        <v>2014</v>
      </c>
      <c r="B4" s="259">
        <v>24531885.98</v>
      </c>
      <c r="C4" s="259">
        <v>25.06</v>
      </c>
      <c r="D4" s="259">
        <v>874703.23</v>
      </c>
      <c r="E4" s="259">
        <v>2695798.22</v>
      </c>
      <c r="F4" s="259">
        <v>42931442.539999999</v>
      </c>
      <c r="G4" s="259">
        <v>75705.320000000007</v>
      </c>
      <c r="H4" s="259">
        <v>0</v>
      </c>
      <c r="I4" s="259"/>
      <c r="J4" s="259">
        <v>75</v>
      </c>
      <c r="K4" s="259">
        <v>50</v>
      </c>
      <c r="L4" s="259">
        <v>11102225.42</v>
      </c>
      <c r="M4" s="260">
        <f t="shared" si="1"/>
        <v>82211910.769999996</v>
      </c>
      <c r="N4" s="259">
        <v>82683713.442999989</v>
      </c>
      <c r="O4" s="261">
        <f t="shared" si="0"/>
        <v>471802.67299999297</v>
      </c>
      <c r="Q4" s="259">
        <f>[3]SN!L8</f>
        <v>82738120.489999995</v>
      </c>
      <c r="R4" s="261">
        <f t="shared" si="2"/>
        <v>526209.71999999881</v>
      </c>
    </row>
    <row r="5" spans="1:18" ht="12.75" customHeight="1" x14ac:dyDescent="0.2">
      <c r="A5" s="258">
        <v>2015</v>
      </c>
      <c r="B5" s="259">
        <v>25886888.420000002</v>
      </c>
      <c r="C5" s="259">
        <v>2.5499999999999998</v>
      </c>
      <c r="D5" s="259">
        <v>849672.19</v>
      </c>
      <c r="E5" s="259">
        <v>2786091.99</v>
      </c>
      <c r="F5" s="259">
        <v>46673597.289999999</v>
      </c>
      <c r="G5" s="259">
        <v>376000.34</v>
      </c>
      <c r="H5" s="259">
        <v>0</v>
      </c>
      <c r="I5" s="259"/>
      <c r="J5" s="259">
        <v>1094210</v>
      </c>
      <c r="K5" s="259">
        <v>50</v>
      </c>
      <c r="L5" s="259">
        <v>12603982.529999999</v>
      </c>
      <c r="M5" s="260">
        <f t="shared" si="1"/>
        <v>90270495.310000002</v>
      </c>
      <c r="N5" s="259">
        <v>90639358.340000004</v>
      </c>
      <c r="O5" s="261">
        <f t="shared" si="0"/>
        <v>368863.03000000119</v>
      </c>
      <c r="Q5" s="259">
        <f>[3]SN!L9</f>
        <v>90588312.260000005</v>
      </c>
      <c r="R5" s="261">
        <f t="shared" si="2"/>
        <v>317816.95000000298</v>
      </c>
    </row>
    <row r="6" spans="1:18" ht="12.75" customHeight="1" x14ac:dyDescent="0.2">
      <c r="A6" s="258">
        <v>2016</v>
      </c>
      <c r="B6" s="259">
        <v>25136867.649999999</v>
      </c>
      <c r="C6" s="259">
        <v>0.04</v>
      </c>
      <c r="D6" s="259">
        <v>819633.21</v>
      </c>
      <c r="E6" s="259">
        <v>2985649.78</v>
      </c>
      <c r="F6" s="259">
        <v>45995690.539999999</v>
      </c>
      <c r="G6" s="259">
        <v>1464424.15</v>
      </c>
      <c r="H6" s="259">
        <v>0</v>
      </c>
      <c r="I6" s="259">
        <v>455429.71</v>
      </c>
      <c r="J6" s="259">
        <v>863085</v>
      </c>
      <c r="K6" s="259">
        <v>36</v>
      </c>
      <c r="L6" s="259">
        <v>12624702.859999999</v>
      </c>
      <c r="M6" s="260">
        <f t="shared" si="1"/>
        <v>90345518.939999998</v>
      </c>
      <c r="N6" s="259">
        <v>90776850.360000014</v>
      </c>
      <c r="O6" s="261">
        <f t="shared" si="0"/>
        <v>431331.42000001669</v>
      </c>
      <c r="Q6" s="259">
        <f>[3]SN!L10</f>
        <v>90788149.730000004</v>
      </c>
      <c r="R6" s="261">
        <f t="shared" si="2"/>
        <v>442630.79000000656</v>
      </c>
    </row>
    <row r="7" spans="1:18" ht="12.75" customHeight="1" x14ac:dyDescent="0.2">
      <c r="A7" s="258">
        <v>2017</v>
      </c>
      <c r="B7" s="259">
        <v>22853786.449999999</v>
      </c>
      <c r="C7" s="259">
        <v>7.0000000000000007E-2</v>
      </c>
      <c r="D7" s="259">
        <v>821757.75</v>
      </c>
      <c r="E7" s="259">
        <v>2552947.17</v>
      </c>
      <c r="F7" s="259">
        <v>52265557.539999999</v>
      </c>
      <c r="G7" s="259">
        <v>1504659.17</v>
      </c>
      <c r="H7" s="259">
        <v>272273.09000000003</v>
      </c>
      <c r="I7" s="259">
        <v>1019787.42</v>
      </c>
      <c r="J7" s="259">
        <v>788075</v>
      </c>
      <c r="K7" s="259">
        <v>0</v>
      </c>
      <c r="L7" s="259">
        <v>11221333.98</v>
      </c>
      <c r="M7" s="260">
        <f t="shared" si="1"/>
        <v>93300177.640000001</v>
      </c>
      <c r="N7" s="259">
        <v>93590828.169999972</v>
      </c>
      <c r="O7" s="261">
        <f t="shared" si="0"/>
        <v>290650.52999997139</v>
      </c>
      <c r="Q7" s="259">
        <f>[3]SN!L11</f>
        <v>93591945.530000001</v>
      </c>
      <c r="R7" s="261">
        <f t="shared" si="2"/>
        <v>291767.8900000006</v>
      </c>
    </row>
    <row r="8" spans="1:18" ht="12.75" customHeight="1" x14ac:dyDescent="0.2">
      <c r="A8" s="258">
        <v>2018</v>
      </c>
      <c r="B8" s="259">
        <v>22647418.609999999</v>
      </c>
      <c r="C8" s="259">
        <v>0.04</v>
      </c>
      <c r="D8" s="259">
        <v>759514.16</v>
      </c>
      <c r="E8" s="259">
        <v>1427485</v>
      </c>
      <c r="F8" s="259">
        <v>51929701.829999998</v>
      </c>
      <c r="G8" s="259">
        <v>1176514.08</v>
      </c>
      <c r="H8" s="259">
        <v>2737767.79</v>
      </c>
      <c r="I8" s="259">
        <v>623102.76</v>
      </c>
      <c r="J8" s="259">
        <v>651825</v>
      </c>
      <c r="K8" s="259">
        <v>50</v>
      </c>
      <c r="L8" s="259">
        <v>11761352.43</v>
      </c>
      <c r="M8" s="260">
        <f t="shared" si="1"/>
        <v>93714731.700000018</v>
      </c>
      <c r="N8" s="259">
        <v>93933788.129999995</v>
      </c>
      <c r="O8" s="261">
        <f t="shared" si="0"/>
        <v>219056.42999997735</v>
      </c>
      <c r="Q8" s="259">
        <f>[3]SN!L12</f>
        <v>93969653.280000001</v>
      </c>
      <c r="R8" s="261">
        <f t="shared" si="2"/>
        <v>254921.57999998331</v>
      </c>
    </row>
    <row r="9" spans="1:18" ht="12.75" customHeight="1" x14ac:dyDescent="0.2">
      <c r="A9" s="258">
        <v>2019</v>
      </c>
      <c r="B9" s="259">
        <v>22616295.739999998</v>
      </c>
      <c r="C9" s="259">
        <v>58164.56</v>
      </c>
      <c r="D9" s="259">
        <v>783266.75</v>
      </c>
      <c r="E9" s="259">
        <v>1125731.94</v>
      </c>
      <c r="F9" s="259">
        <v>47654274.560000002</v>
      </c>
      <c r="G9" s="259">
        <v>418367.21</v>
      </c>
      <c r="H9" s="259">
        <v>2911867.49</v>
      </c>
      <c r="I9" s="259">
        <v>278091.09000000003</v>
      </c>
      <c r="J9" s="259">
        <v>549025</v>
      </c>
      <c r="K9" s="259">
        <v>0</v>
      </c>
      <c r="L9" s="259">
        <v>12795304.5</v>
      </c>
      <c r="M9" s="260">
        <f t="shared" si="1"/>
        <v>89190388.839999989</v>
      </c>
      <c r="N9" s="259">
        <v>89241865.560000002</v>
      </c>
      <c r="O9" s="261">
        <f t="shared" si="0"/>
        <v>51476.720000013709</v>
      </c>
      <c r="Q9" s="259">
        <f>[3]SN!L13</f>
        <v>89254263.060000002</v>
      </c>
      <c r="R9" s="261">
        <f t="shared" si="2"/>
        <v>63874.220000013709</v>
      </c>
    </row>
    <row r="10" spans="1:18" ht="12.75" customHeight="1" x14ac:dyDescent="0.2">
      <c r="A10" s="258">
        <v>2020</v>
      </c>
      <c r="B10" s="259">
        <v>15325215.26</v>
      </c>
      <c r="C10" s="259">
        <v>26.98</v>
      </c>
      <c r="D10" s="259">
        <v>548996.6</v>
      </c>
      <c r="E10" s="259">
        <v>805340.31</v>
      </c>
      <c r="F10" s="259">
        <v>37828092.520000003</v>
      </c>
      <c r="G10" s="259">
        <v>886446.19</v>
      </c>
      <c r="H10" s="259">
        <v>2010621.48</v>
      </c>
      <c r="I10" s="259">
        <v>181002.77</v>
      </c>
      <c r="J10" s="259">
        <v>418532</v>
      </c>
      <c r="K10" s="259">
        <v>50</v>
      </c>
      <c r="L10" s="259">
        <v>8680347.8100000005</v>
      </c>
      <c r="M10" s="260">
        <f t="shared" si="1"/>
        <v>66684671.920000002</v>
      </c>
      <c r="N10" s="259">
        <v>66800634.812000014</v>
      </c>
      <c r="O10" s="261">
        <f t="shared" si="0"/>
        <v>115962.8920000121</v>
      </c>
      <c r="Q10" s="259">
        <f>[3]SN!L14</f>
        <v>66767413.770000003</v>
      </c>
      <c r="R10" s="261">
        <f t="shared" si="2"/>
        <v>82741.85000000149</v>
      </c>
    </row>
    <row r="11" spans="1:18" ht="12.75" customHeight="1" x14ac:dyDescent="0.2">
      <c r="A11" s="258">
        <v>2021</v>
      </c>
      <c r="B11" s="259">
        <v>802116.54</v>
      </c>
      <c r="C11" s="259">
        <v>1.54</v>
      </c>
      <c r="D11" s="259">
        <v>5865</v>
      </c>
      <c r="E11" s="259">
        <v>0</v>
      </c>
      <c r="F11" s="259">
        <v>11241695.029999999</v>
      </c>
      <c r="G11" s="259">
        <v>1347.49</v>
      </c>
      <c r="H11" s="259">
        <v>180542.63</v>
      </c>
      <c r="I11" s="259"/>
      <c r="J11" s="259">
        <v>56305</v>
      </c>
      <c r="K11" s="259">
        <v>0</v>
      </c>
      <c r="L11" s="259">
        <v>2783163.63</v>
      </c>
      <c r="M11" s="260">
        <f t="shared" si="1"/>
        <v>15071036.859999999</v>
      </c>
      <c r="N11" s="259">
        <v>15082452.209999997</v>
      </c>
      <c r="O11" s="261">
        <f t="shared" si="0"/>
        <v>11415.349999997765</v>
      </c>
      <c r="Q11" s="259">
        <f>[3]SN!L15</f>
        <v>15042267.26</v>
      </c>
      <c r="R11" s="261">
        <f t="shared" si="2"/>
        <v>-28769.599999999627</v>
      </c>
    </row>
    <row r="12" spans="1:18" ht="12.75" customHeight="1" x14ac:dyDescent="0.2">
      <c r="A12" s="262" t="s">
        <v>111</v>
      </c>
      <c r="B12" s="263">
        <f t="shared" ref="B12:H12" si="3">SUM(B2:B11)</f>
        <v>213811915.42999998</v>
      </c>
      <c r="C12" s="263">
        <f t="shared" si="3"/>
        <v>105934.34</v>
      </c>
      <c r="D12" s="263">
        <f t="shared" si="3"/>
        <v>7480150.4699999988</v>
      </c>
      <c r="E12" s="263">
        <f t="shared" si="3"/>
        <v>16831180.059999999</v>
      </c>
      <c r="F12" s="263">
        <f t="shared" si="3"/>
        <v>400507856.54999995</v>
      </c>
      <c r="G12" s="263">
        <f t="shared" si="3"/>
        <v>6275453.4700000007</v>
      </c>
      <c r="H12" s="263">
        <f t="shared" si="3"/>
        <v>8113072.4799999995</v>
      </c>
      <c r="I12" s="263">
        <f t="shared" ref="I12" si="4">SUM(I2:I11)</f>
        <v>2557413.75</v>
      </c>
      <c r="J12" s="263">
        <f t="shared" ref="J12:O12" si="5">SUM(J2:J11)</f>
        <v>4421132</v>
      </c>
      <c r="K12" s="263">
        <f t="shared" si="5"/>
        <v>33936.01</v>
      </c>
      <c r="L12" s="263">
        <f t="shared" si="5"/>
        <v>91017237.439999998</v>
      </c>
      <c r="M12" s="264">
        <f t="shared" si="5"/>
        <v>751155282</v>
      </c>
      <c r="N12" s="263">
        <f t="shared" si="5"/>
        <v>753226042.73799992</v>
      </c>
      <c r="O12" s="265">
        <f t="shared" si="5"/>
        <v>2070760.7380000018</v>
      </c>
      <c r="Q12" s="259">
        <f>[3]SN!L16</f>
        <v>753248307.32999992</v>
      </c>
      <c r="R12" s="263">
        <f>SUM(R2:R11)</f>
        <v>2093025.3300000224</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C99"/>
  <sheetViews>
    <sheetView topLeftCell="A3" workbookViewId="0">
      <pane xSplit="2" ySplit="2" topLeftCell="C5" activePane="bottomRight" state="frozen"/>
      <selection activeCell="G32" sqref="G32"/>
      <selection pane="topRight" activeCell="G32" sqref="G32"/>
      <selection pane="bottomLeft" activeCell="G32" sqref="G32"/>
      <selection pane="bottomRight" activeCell="G32" sqref="G32"/>
    </sheetView>
  </sheetViews>
  <sheetFormatPr defaultRowHeight="15" x14ac:dyDescent="0.25"/>
  <cols>
    <col min="2" max="3" width="9.140625" style="54"/>
    <col min="4" max="4" width="13.28515625" style="33" bestFit="1" customWidth="1"/>
    <col min="5" max="5" width="22.42578125" style="18" bestFit="1" customWidth="1"/>
    <col min="6" max="6" width="19.140625" style="18" bestFit="1" customWidth="1"/>
    <col min="7" max="7" width="12.28515625" style="18" bestFit="1" customWidth="1"/>
    <col min="8" max="8" width="13.5703125" style="18" bestFit="1" customWidth="1"/>
    <col min="9" max="9" width="17.5703125" style="18" bestFit="1" customWidth="1"/>
    <col min="10" max="10" width="25.28515625" style="18" bestFit="1" customWidth="1"/>
    <col min="11" max="12" width="25.28515625" style="37" customWidth="1"/>
    <col min="13" max="13" width="25.28515625" style="69" customWidth="1"/>
    <col min="14" max="15" width="25.28515625" style="37" customWidth="1"/>
    <col min="16" max="16" width="28.28515625" style="37" customWidth="1"/>
    <col min="17" max="17" width="25.28515625" style="37" customWidth="1"/>
    <col min="18" max="18" width="13.140625" customWidth="1"/>
    <col min="19" max="19" width="14.5703125" customWidth="1"/>
    <col min="20" max="20" width="27.7109375" customWidth="1"/>
    <col min="21" max="21" width="30.7109375" customWidth="1"/>
    <col min="22" max="22" width="24.42578125" customWidth="1"/>
    <col min="23" max="23" width="17.7109375" customWidth="1"/>
    <col min="24" max="24" width="18.85546875" customWidth="1"/>
    <col min="25" max="25" width="29" customWidth="1"/>
    <col min="26" max="26" width="22.85546875" customWidth="1"/>
    <col min="27" max="27" width="30.85546875" customWidth="1"/>
    <col min="28" max="28" width="27.42578125" customWidth="1"/>
    <col min="29" max="34" width="10.5703125" customWidth="1"/>
    <col min="35" max="35" width="10.5703125" bestFit="1" customWidth="1"/>
    <col min="36" max="36" width="10.5703125" customWidth="1"/>
    <col min="37" max="37" width="10.5703125" bestFit="1" customWidth="1"/>
    <col min="38" max="38" width="10.5703125" customWidth="1"/>
    <col min="39" max="39" width="10.5703125" bestFit="1" customWidth="1"/>
    <col min="40" max="40" width="10.5703125" customWidth="1"/>
    <col min="41" max="41" width="10.5703125" bestFit="1" customWidth="1"/>
    <col min="42" max="42" width="10.5703125" customWidth="1"/>
    <col min="43" max="43" width="10.5703125" bestFit="1" customWidth="1"/>
    <col min="44" max="44" width="10.5703125" customWidth="1"/>
    <col min="45" max="45" width="10.5703125" bestFit="1" customWidth="1"/>
    <col min="46" max="46" width="10.5703125" customWidth="1"/>
    <col min="47" max="47" width="10.5703125" bestFit="1" customWidth="1"/>
    <col min="48" max="48" width="10.5703125" customWidth="1"/>
    <col min="49" max="49" width="10.5703125" bestFit="1" customWidth="1"/>
    <col min="50" max="50" width="10.5703125" customWidth="1"/>
    <col min="51" max="51" width="10.5703125" bestFit="1" customWidth="1"/>
    <col min="52" max="52" width="10.5703125" customWidth="1"/>
    <col min="53" max="53" width="10.5703125" bestFit="1" customWidth="1"/>
    <col min="54" max="54" width="10.5703125" customWidth="1"/>
    <col min="55" max="55" width="10.5703125" bestFit="1" customWidth="1"/>
    <col min="56" max="56" width="10.5703125" customWidth="1"/>
    <col min="57" max="57" width="10.5703125" bestFit="1" customWidth="1"/>
    <col min="58" max="58" width="10.5703125" customWidth="1"/>
    <col min="59" max="59" width="10.5703125" bestFit="1" customWidth="1"/>
    <col min="60" max="60" width="10.5703125" customWidth="1"/>
    <col min="61" max="61" width="10.5703125" bestFit="1" customWidth="1"/>
    <col min="62" max="62" width="10.5703125" customWidth="1"/>
    <col min="63" max="63" width="10.5703125" bestFit="1" customWidth="1"/>
    <col min="64" max="64" width="10.5703125" customWidth="1"/>
    <col min="65" max="65" width="10.5703125" bestFit="1" customWidth="1"/>
    <col min="66" max="66" width="10.5703125" customWidth="1"/>
    <col min="67" max="67" width="10.5703125" bestFit="1" customWidth="1"/>
    <col min="68" max="68" width="10.5703125" customWidth="1"/>
    <col min="69" max="69" width="10.5703125" bestFit="1" customWidth="1"/>
    <col min="70" max="70" width="10.5703125" customWidth="1"/>
    <col min="71" max="71" width="10.5703125" bestFit="1" customWidth="1"/>
    <col min="72" max="72" width="10.5703125" customWidth="1"/>
    <col min="73" max="73" width="10.5703125" bestFit="1" customWidth="1"/>
    <col min="74" max="74" width="10.5703125" customWidth="1"/>
    <col min="75" max="75" width="10.5703125" bestFit="1" customWidth="1"/>
    <col min="76" max="76" width="10.5703125" customWidth="1"/>
    <col min="77" max="77" width="10.5703125" bestFit="1" customWidth="1"/>
    <col min="78" max="78" width="10.5703125" customWidth="1"/>
    <col min="79" max="79" width="10.5703125" bestFit="1" customWidth="1"/>
    <col min="80" max="80" width="10.5703125" customWidth="1"/>
    <col min="81" max="81" width="10.5703125" bestFit="1" customWidth="1"/>
    <col min="82" max="82" width="10.5703125" customWidth="1"/>
    <col min="83" max="83" width="10.5703125" bestFit="1" customWidth="1"/>
    <col min="84" max="84" width="10.5703125" customWidth="1"/>
    <col min="85" max="85" width="10.5703125" bestFit="1" customWidth="1"/>
    <col min="86" max="86" width="10.5703125" customWidth="1"/>
    <col min="87" max="87" width="10.5703125" bestFit="1" customWidth="1"/>
    <col min="88" max="88" width="12.7109375" customWidth="1"/>
    <col min="89" max="89" width="10.5703125" bestFit="1" customWidth="1"/>
    <col min="90" max="90" width="16.42578125" bestFit="1" customWidth="1"/>
    <col min="91" max="91" width="10.5703125" bestFit="1" customWidth="1"/>
    <col min="92" max="92" width="16.42578125" bestFit="1" customWidth="1"/>
    <col min="93" max="93" width="10.5703125" bestFit="1" customWidth="1"/>
    <col min="94" max="94" width="16.42578125" bestFit="1" customWidth="1"/>
    <col min="95" max="95" width="10.5703125" bestFit="1" customWidth="1"/>
    <col min="96" max="96" width="16.42578125" bestFit="1" customWidth="1"/>
    <col min="97" max="97" width="10.5703125" bestFit="1" customWidth="1"/>
    <col min="98" max="98" width="16.42578125" bestFit="1" customWidth="1"/>
    <col min="99" max="99" width="10.5703125" bestFit="1" customWidth="1"/>
    <col min="100" max="100" width="16.42578125" bestFit="1" customWidth="1"/>
    <col min="101" max="101" width="10.5703125" bestFit="1" customWidth="1"/>
    <col min="102" max="102" width="16.42578125" bestFit="1" customWidth="1"/>
    <col min="103" max="103" width="10.5703125" bestFit="1" customWidth="1"/>
    <col min="104" max="104" width="16.42578125" bestFit="1" customWidth="1"/>
    <col min="105" max="105" width="10.5703125" bestFit="1" customWidth="1"/>
    <col min="106" max="106" width="16.42578125" bestFit="1" customWidth="1"/>
    <col min="107" max="107" width="10.5703125" bestFit="1" customWidth="1"/>
    <col min="108" max="108" width="16.42578125" bestFit="1" customWidth="1"/>
    <col min="109" max="109" width="10.5703125" bestFit="1" customWidth="1"/>
    <col min="110" max="110" width="16.42578125" bestFit="1" customWidth="1"/>
    <col min="111" max="111" width="10.5703125" bestFit="1" customWidth="1"/>
    <col min="112" max="112" width="16.42578125" bestFit="1" customWidth="1"/>
    <col min="113" max="113" width="10.5703125" bestFit="1" customWidth="1"/>
    <col min="114" max="114" width="16.42578125" bestFit="1" customWidth="1"/>
    <col min="115" max="115" width="10.5703125" bestFit="1" customWidth="1"/>
    <col min="116" max="116" width="16.42578125" bestFit="1" customWidth="1"/>
    <col min="117" max="117" width="10.5703125" bestFit="1" customWidth="1"/>
    <col min="118" max="118" width="16.42578125" bestFit="1" customWidth="1"/>
    <col min="119" max="119" width="10.5703125" bestFit="1" customWidth="1"/>
    <col min="120" max="120" width="16.42578125" bestFit="1" customWidth="1"/>
    <col min="121" max="121" width="10.5703125" bestFit="1" customWidth="1"/>
    <col min="122" max="122" width="16.42578125" bestFit="1" customWidth="1"/>
    <col min="123" max="123" width="10.5703125" bestFit="1" customWidth="1"/>
    <col min="124" max="124" width="16.42578125" bestFit="1" customWidth="1"/>
    <col min="125" max="125" width="10.5703125" bestFit="1" customWidth="1"/>
    <col min="126" max="126" width="16.42578125" bestFit="1" customWidth="1"/>
    <col min="127" max="127" width="10.5703125" bestFit="1" customWidth="1"/>
    <col min="128" max="128" width="16.42578125" bestFit="1" customWidth="1"/>
    <col min="129" max="129" width="10.5703125" bestFit="1" customWidth="1"/>
    <col min="130" max="130" width="16.42578125" bestFit="1" customWidth="1"/>
    <col min="131" max="131" width="10.5703125" bestFit="1" customWidth="1"/>
    <col min="132" max="132" width="16.42578125" bestFit="1" customWidth="1"/>
    <col min="133" max="133" width="10.5703125" bestFit="1" customWidth="1"/>
    <col min="134" max="134" width="16.42578125" bestFit="1" customWidth="1"/>
    <col min="135" max="135" width="10.5703125" bestFit="1" customWidth="1"/>
    <col min="136" max="136" width="16.42578125" bestFit="1" customWidth="1"/>
    <col min="137" max="137" width="10.5703125" bestFit="1" customWidth="1"/>
    <col min="138" max="138" width="16.42578125" bestFit="1" customWidth="1"/>
    <col min="139" max="139" width="10.5703125" bestFit="1" customWidth="1"/>
    <col min="140" max="140" width="16.42578125" bestFit="1" customWidth="1"/>
    <col min="141" max="141" width="10.5703125" bestFit="1" customWidth="1"/>
    <col min="142" max="142" width="16.42578125" bestFit="1" customWidth="1"/>
    <col min="143" max="143" width="10.5703125" bestFit="1" customWidth="1"/>
    <col min="144" max="144" width="16.42578125" bestFit="1" customWidth="1"/>
    <col min="145" max="145" width="10.5703125" bestFit="1" customWidth="1"/>
    <col min="146" max="146" width="16.42578125" bestFit="1" customWidth="1"/>
    <col min="147" max="147" width="10.5703125" bestFit="1" customWidth="1"/>
    <col min="148" max="148" width="16.42578125" bestFit="1" customWidth="1"/>
    <col min="149" max="149" width="10.5703125" bestFit="1" customWidth="1"/>
    <col min="150" max="150" width="16.42578125" bestFit="1" customWidth="1"/>
    <col min="151" max="151" width="10.5703125" bestFit="1" customWidth="1"/>
    <col min="152" max="152" width="16.42578125" bestFit="1" customWidth="1"/>
    <col min="153" max="153" width="10.5703125" bestFit="1" customWidth="1"/>
    <col min="154" max="154" width="16.42578125" bestFit="1" customWidth="1"/>
    <col min="155" max="155" width="10.5703125" bestFit="1" customWidth="1"/>
    <col min="156" max="156" width="16.42578125" bestFit="1" customWidth="1"/>
    <col min="157" max="157" width="12.7109375" bestFit="1" customWidth="1"/>
  </cols>
  <sheetData>
    <row r="2" spans="2:18" x14ac:dyDescent="0.25">
      <c r="B2" s="46" t="s">
        <v>20</v>
      </c>
      <c r="C2" s="46"/>
      <c r="D2" s="49"/>
      <c r="E2" s="8"/>
      <c r="F2" s="8"/>
      <c r="G2" s="8"/>
      <c r="H2" s="8"/>
      <c r="I2" s="8"/>
      <c r="J2" s="8"/>
      <c r="K2" s="8"/>
      <c r="L2" s="8"/>
      <c r="M2" s="70"/>
      <c r="N2" s="34"/>
      <c r="O2" s="34"/>
      <c r="P2" s="34"/>
      <c r="Q2" s="34"/>
    </row>
    <row r="3" spans="2:18" s="56" customFormat="1" x14ac:dyDescent="0.25">
      <c r="B3" s="51"/>
      <c r="C3" s="51"/>
      <c r="D3" s="53"/>
      <c r="E3" s="34"/>
      <c r="F3" s="34"/>
      <c r="G3" s="34"/>
      <c r="H3" s="34"/>
      <c r="I3" s="34"/>
      <c r="J3" s="34"/>
      <c r="K3" s="34"/>
      <c r="L3" s="34"/>
      <c r="M3" s="71"/>
      <c r="N3" s="51"/>
      <c r="O3" s="51"/>
      <c r="P3" s="34"/>
      <c r="Q3" s="34"/>
    </row>
    <row r="4" spans="2:18" x14ac:dyDescent="0.25">
      <c r="B4" s="50" t="s">
        <v>79</v>
      </c>
      <c r="C4" s="50" t="s">
        <v>80</v>
      </c>
      <c r="D4" s="30" t="s">
        <v>81</v>
      </c>
      <c r="E4" s="30" t="s">
        <v>16</v>
      </c>
      <c r="F4" s="30" t="s">
        <v>19</v>
      </c>
      <c r="G4" s="30" t="s">
        <v>22</v>
      </c>
      <c r="H4" s="30" t="s">
        <v>41</v>
      </c>
      <c r="I4" s="30" t="s">
        <v>44</v>
      </c>
      <c r="J4" s="30" t="s">
        <v>47</v>
      </c>
      <c r="K4" s="35" t="s">
        <v>15</v>
      </c>
      <c r="L4" s="35" t="s">
        <v>56</v>
      </c>
      <c r="M4" s="72" t="s">
        <v>117</v>
      </c>
      <c r="N4" s="35" t="s">
        <v>111</v>
      </c>
      <c r="O4" s="35" t="s">
        <v>119</v>
      </c>
      <c r="P4" s="35" t="s">
        <v>114</v>
      </c>
      <c r="Q4" s="35"/>
    </row>
    <row r="5" spans="2:18" x14ac:dyDescent="0.25">
      <c r="B5" s="47" t="s">
        <v>82</v>
      </c>
      <c r="C5" s="57">
        <v>41456</v>
      </c>
      <c r="D5" s="31">
        <f>+AVERAGE(D8:D13)</f>
        <v>2075165.736666667</v>
      </c>
      <c r="E5" s="31"/>
      <c r="F5" s="43">
        <f>+AVERAGE(F8:F13)</f>
        <v>75166.92333333334</v>
      </c>
      <c r="G5" s="66">
        <f>+AVERAGE(G8:G13)</f>
        <v>228983.87000000002</v>
      </c>
      <c r="H5" s="66">
        <f>+AVERAGE(H8:H13)</f>
        <v>3706484.0749999997</v>
      </c>
      <c r="I5" s="66">
        <f>+AVERAGE(I8:I13)</f>
        <v>7836.5883333333331</v>
      </c>
      <c r="J5" s="31"/>
      <c r="K5" s="31"/>
      <c r="L5" s="31"/>
      <c r="M5" s="73"/>
      <c r="N5" s="32">
        <f>SUM(D5:M5)</f>
        <v>6093637.1933333334</v>
      </c>
      <c r="O5" s="32"/>
      <c r="P5" s="36"/>
      <c r="Q5" s="36"/>
    </row>
    <row r="6" spans="2:18" x14ac:dyDescent="0.25">
      <c r="B6" s="47" t="s">
        <v>82</v>
      </c>
      <c r="C6" s="57">
        <v>41487</v>
      </c>
      <c r="D6" s="31">
        <f>+D5</f>
        <v>2075165.736666667</v>
      </c>
      <c r="E6" s="31"/>
      <c r="F6" s="43">
        <f t="shared" ref="F6:I7" si="0">+F5</f>
        <v>75166.92333333334</v>
      </c>
      <c r="G6" s="66">
        <f t="shared" si="0"/>
        <v>228983.87000000002</v>
      </c>
      <c r="H6" s="66">
        <f t="shared" si="0"/>
        <v>3706484.0749999997</v>
      </c>
      <c r="I6" s="66">
        <f t="shared" si="0"/>
        <v>7836.5883333333331</v>
      </c>
      <c r="J6" s="31"/>
      <c r="K6" s="31"/>
      <c r="L6" s="31"/>
      <c r="M6" s="73"/>
      <c r="N6" s="32">
        <f t="shared" ref="N6:N69" si="1">SUM(D6:M6)</f>
        <v>6093637.1933333334</v>
      </c>
      <c r="O6" s="32"/>
      <c r="P6" s="36"/>
      <c r="Q6" s="36"/>
    </row>
    <row r="7" spans="2:18" x14ac:dyDescent="0.25">
      <c r="B7" s="47" t="s">
        <v>82</v>
      </c>
      <c r="C7" s="57">
        <v>41518</v>
      </c>
      <c r="D7" s="31">
        <f>+D6</f>
        <v>2075165.736666667</v>
      </c>
      <c r="E7" s="31"/>
      <c r="F7" s="43">
        <f t="shared" si="0"/>
        <v>75166.92333333334</v>
      </c>
      <c r="G7" s="66">
        <f t="shared" si="0"/>
        <v>228983.87000000002</v>
      </c>
      <c r="H7" s="66">
        <f t="shared" si="0"/>
        <v>3706484.0749999997</v>
      </c>
      <c r="I7" s="66">
        <f t="shared" si="0"/>
        <v>7836.5883333333331</v>
      </c>
      <c r="J7" s="31"/>
      <c r="K7" s="31"/>
      <c r="L7" s="31"/>
      <c r="M7" s="73"/>
      <c r="N7" s="32">
        <f t="shared" si="1"/>
        <v>6093637.1933333334</v>
      </c>
      <c r="O7" s="32"/>
      <c r="P7" s="36"/>
      <c r="Q7" s="36"/>
      <c r="R7" s="100"/>
    </row>
    <row r="8" spans="2:18" x14ac:dyDescent="0.25">
      <c r="B8" s="47" t="s">
        <v>82</v>
      </c>
      <c r="C8" s="57">
        <v>41548</v>
      </c>
      <c r="D8" s="32">
        <v>2025763.41</v>
      </c>
      <c r="E8" s="32"/>
      <c r="F8" s="66">
        <v>75368.639999999999</v>
      </c>
      <c r="G8" s="66">
        <v>152996.84</v>
      </c>
      <c r="H8" s="66">
        <v>3589211.54</v>
      </c>
      <c r="I8" s="66">
        <v>317.25</v>
      </c>
      <c r="J8" s="32"/>
      <c r="K8" s="32"/>
      <c r="L8" s="32"/>
      <c r="M8" s="74"/>
      <c r="N8" s="32">
        <f t="shared" si="1"/>
        <v>5843657.6799999997</v>
      </c>
      <c r="O8" s="32"/>
      <c r="P8" s="36"/>
      <c r="Q8" s="36"/>
    </row>
    <row r="9" spans="2:18" x14ac:dyDescent="0.25">
      <c r="B9" s="47" t="s">
        <v>82</v>
      </c>
      <c r="C9" s="57">
        <v>41579</v>
      </c>
      <c r="D9" s="32">
        <v>2033013.42</v>
      </c>
      <c r="E9" s="32"/>
      <c r="F9" s="67">
        <v>73131.070000000007</v>
      </c>
      <c r="G9" s="66">
        <v>337293.89</v>
      </c>
      <c r="H9" s="66">
        <v>3377824.44</v>
      </c>
      <c r="I9" s="66">
        <v>41052.39</v>
      </c>
      <c r="J9" s="32"/>
      <c r="K9" s="32"/>
      <c r="L9" s="32"/>
      <c r="M9" s="74"/>
      <c r="N9" s="32">
        <f t="shared" si="1"/>
        <v>5862315.21</v>
      </c>
      <c r="O9" s="32"/>
      <c r="P9" s="36"/>
      <c r="Q9" s="36"/>
    </row>
    <row r="10" spans="2:18" x14ac:dyDescent="0.25">
      <c r="B10" s="47" t="s">
        <v>82</v>
      </c>
      <c r="C10" s="57">
        <v>41609</v>
      </c>
      <c r="D10" s="32">
        <v>2163038.81</v>
      </c>
      <c r="E10" s="32"/>
      <c r="F10" s="67">
        <v>75951.179999999993</v>
      </c>
      <c r="G10" s="66">
        <v>157675.01999999999</v>
      </c>
      <c r="H10" s="66">
        <v>4139532.7</v>
      </c>
      <c r="I10" s="66">
        <v>3442.81</v>
      </c>
      <c r="J10" s="32"/>
      <c r="K10" s="32"/>
      <c r="L10" s="32"/>
      <c r="M10" s="74"/>
      <c r="N10" s="32">
        <f t="shared" si="1"/>
        <v>6539640.5200000005</v>
      </c>
      <c r="O10" s="32"/>
      <c r="P10" s="36"/>
      <c r="Q10" s="36"/>
    </row>
    <row r="11" spans="2:18" x14ac:dyDescent="0.25">
      <c r="B11" s="47" t="s">
        <v>82</v>
      </c>
      <c r="C11" s="57">
        <v>41640</v>
      </c>
      <c r="D11" s="32">
        <v>2184750.0800000001</v>
      </c>
      <c r="E11" s="32"/>
      <c r="F11" s="67">
        <v>78095.929999999993</v>
      </c>
      <c r="G11" s="66">
        <v>111538.14</v>
      </c>
      <c r="H11" s="66">
        <v>3621447.48</v>
      </c>
      <c r="I11" s="66">
        <v>1492.98</v>
      </c>
      <c r="J11" s="32"/>
      <c r="K11" s="32"/>
      <c r="L11" s="32"/>
      <c r="M11" s="74"/>
      <c r="N11" s="32">
        <f t="shared" si="1"/>
        <v>5997324.6100000013</v>
      </c>
      <c r="O11" s="32"/>
      <c r="P11" s="36"/>
      <c r="Q11" s="36"/>
    </row>
    <row r="12" spans="2:18" x14ac:dyDescent="0.25">
      <c r="B12" s="47" t="s">
        <v>82</v>
      </c>
      <c r="C12" s="57">
        <v>41671</v>
      </c>
      <c r="D12" s="32">
        <v>1932090.88</v>
      </c>
      <c r="E12" s="32"/>
      <c r="F12" s="67">
        <v>72664.570000000007</v>
      </c>
      <c r="G12" s="66">
        <v>306141.5</v>
      </c>
      <c r="H12" s="66">
        <v>3848415.9</v>
      </c>
      <c r="I12" s="66">
        <v>630.11</v>
      </c>
      <c r="J12" s="32"/>
      <c r="K12" s="32"/>
      <c r="L12" s="32"/>
      <c r="M12" s="74"/>
      <c r="N12" s="32">
        <f t="shared" si="1"/>
        <v>6159942.96</v>
      </c>
      <c r="O12" s="32"/>
      <c r="P12" s="36"/>
      <c r="Q12" s="36"/>
    </row>
    <row r="13" spans="2:18" x14ac:dyDescent="0.25">
      <c r="B13" s="47" t="s">
        <v>82</v>
      </c>
      <c r="C13" s="57">
        <v>41699</v>
      </c>
      <c r="D13" s="32">
        <v>2112337.8199999998</v>
      </c>
      <c r="E13" s="32"/>
      <c r="F13" s="67">
        <v>75790.149999999994</v>
      </c>
      <c r="G13" s="66">
        <v>308257.83</v>
      </c>
      <c r="H13" s="66">
        <v>3662472.39</v>
      </c>
      <c r="I13" s="66">
        <v>83.99</v>
      </c>
      <c r="J13" s="32"/>
      <c r="K13" s="32"/>
      <c r="L13" s="32"/>
      <c r="M13" s="74"/>
      <c r="N13" s="32">
        <f t="shared" si="1"/>
        <v>6158942.1799999997</v>
      </c>
      <c r="O13" s="32"/>
      <c r="P13" s="36"/>
      <c r="Q13" s="36"/>
    </row>
    <row r="14" spans="2:18" x14ac:dyDescent="0.25">
      <c r="B14" s="47" t="s">
        <v>82</v>
      </c>
      <c r="C14" s="57">
        <v>41730</v>
      </c>
      <c r="D14" s="31">
        <f>+D15</f>
        <v>2016119.9</v>
      </c>
      <c r="E14" s="31"/>
      <c r="F14" s="43">
        <f>+F15</f>
        <v>71365.39</v>
      </c>
      <c r="G14" s="66">
        <f>+G15</f>
        <v>301596.59000000003</v>
      </c>
      <c r="H14" s="66">
        <f>+H15</f>
        <v>3419319.87</v>
      </c>
      <c r="I14" s="66">
        <f>+I15</f>
        <v>12.68</v>
      </c>
      <c r="J14" s="31"/>
      <c r="K14" s="31"/>
      <c r="L14" s="31"/>
      <c r="M14" s="73"/>
      <c r="N14" s="32">
        <f t="shared" si="1"/>
        <v>5808414.4299999997</v>
      </c>
      <c r="O14" s="32"/>
      <c r="P14" s="36"/>
      <c r="Q14" s="36"/>
    </row>
    <row r="15" spans="2:18" x14ac:dyDescent="0.25">
      <c r="B15" s="47" t="s">
        <v>82</v>
      </c>
      <c r="C15" s="57">
        <v>41760</v>
      </c>
      <c r="D15" s="32">
        <v>2016119.9</v>
      </c>
      <c r="E15" s="32"/>
      <c r="F15" s="67">
        <v>71365.39</v>
      </c>
      <c r="G15" s="66">
        <v>301596.59000000003</v>
      </c>
      <c r="H15" s="66">
        <v>3419319.87</v>
      </c>
      <c r="I15" s="66">
        <v>12.68</v>
      </c>
      <c r="J15" s="32"/>
      <c r="K15" s="32"/>
      <c r="L15" s="32"/>
      <c r="M15" s="74"/>
      <c r="N15" s="32">
        <f t="shared" si="1"/>
        <v>5808414.4299999997</v>
      </c>
      <c r="O15" s="32"/>
      <c r="P15" s="36"/>
      <c r="Q15" s="36"/>
    </row>
    <row r="16" spans="2:18" x14ac:dyDescent="0.25">
      <c r="B16" s="47" t="s">
        <v>82</v>
      </c>
      <c r="C16" s="57">
        <v>41791</v>
      </c>
      <c r="D16" s="32">
        <v>2035137.16</v>
      </c>
      <c r="E16" s="32"/>
      <c r="F16" s="67">
        <v>69699.86</v>
      </c>
      <c r="G16" s="66">
        <v>327954.57</v>
      </c>
      <c r="H16" s="66">
        <v>3925046.22</v>
      </c>
      <c r="I16" s="66">
        <v>2.13</v>
      </c>
      <c r="J16" s="32"/>
      <c r="K16" s="32"/>
      <c r="L16" s="32"/>
      <c r="M16" s="74"/>
      <c r="N16" s="32">
        <f t="shared" si="1"/>
        <v>6357839.9400000004</v>
      </c>
      <c r="O16" s="32">
        <f>SUM(N5:N16)</f>
        <v>72817403.540000007</v>
      </c>
      <c r="P16" s="36">
        <f>SUM(N5:N16)-Summary!J4</f>
        <v>0</v>
      </c>
      <c r="Q16" s="36"/>
    </row>
    <row r="17" spans="2:29" x14ac:dyDescent="0.25">
      <c r="B17" s="48" t="s">
        <v>83</v>
      </c>
      <c r="C17" s="52">
        <v>41821</v>
      </c>
      <c r="D17" s="33">
        <v>2102822.7999999998</v>
      </c>
      <c r="E17" s="33"/>
      <c r="F17" s="43">
        <v>69436.14</v>
      </c>
      <c r="G17" s="66">
        <v>201159.36</v>
      </c>
      <c r="H17" s="66">
        <v>3977280.35</v>
      </c>
      <c r="I17" s="66">
        <v>4.2699999999999996</v>
      </c>
      <c r="J17" s="33"/>
      <c r="K17" s="36"/>
      <c r="L17" s="36"/>
      <c r="M17" s="75"/>
      <c r="N17" s="32">
        <f t="shared" si="1"/>
        <v>6350702.9199999999</v>
      </c>
      <c r="O17" s="36"/>
      <c r="P17" s="36"/>
      <c r="Q17" s="36"/>
    </row>
    <row r="18" spans="2:29" x14ac:dyDescent="0.25">
      <c r="B18" s="48" t="s">
        <v>83</v>
      </c>
      <c r="C18" s="52">
        <v>41852</v>
      </c>
      <c r="D18" s="33">
        <v>2227998.65</v>
      </c>
      <c r="E18" s="33"/>
      <c r="F18" s="43">
        <v>72335.72</v>
      </c>
      <c r="G18" s="66">
        <v>293526.93</v>
      </c>
      <c r="H18" s="66">
        <v>4152682.13</v>
      </c>
      <c r="I18" s="66">
        <v>6.79</v>
      </c>
      <c r="J18" s="33"/>
      <c r="K18" s="36"/>
      <c r="L18" s="36"/>
      <c r="M18" s="75"/>
      <c r="N18" s="32">
        <f t="shared" si="1"/>
        <v>6746550.2199999997</v>
      </c>
      <c r="O18" s="36"/>
      <c r="P18" s="83"/>
      <c r="Q18" s="36"/>
    </row>
    <row r="19" spans="2:29" x14ac:dyDescent="0.25">
      <c r="B19" s="48" t="s">
        <v>83</v>
      </c>
      <c r="C19" s="52">
        <v>41883</v>
      </c>
      <c r="D19" s="33">
        <v>2077996.82</v>
      </c>
      <c r="E19" s="33"/>
      <c r="F19" s="43">
        <v>70517.7</v>
      </c>
      <c r="G19" s="66">
        <v>275276.21000000002</v>
      </c>
      <c r="H19" s="66">
        <v>4187873.81</v>
      </c>
      <c r="I19" s="66">
        <v>0.27</v>
      </c>
      <c r="J19" s="33"/>
      <c r="K19" s="36"/>
      <c r="L19" s="36"/>
      <c r="M19" s="75"/>
      <c r="N19" s="32">
        <f t="shared" si="1"/>
        <v>6611664.8099999996</v>
      </c>
      <c r="O19" s="36"/>
      <c r="P19" s="36"/>
      <c r="Q19" s="36"/>
      <c r="R19" s="19" t="s">
        <v>88</v>
      </c>
      <c r="S19" s="110" t="s">
        <v>90</v>
      </c>
      <c r="T19" s="110" t="s">
        <v>124</v>
      </c>
      <c r="U19" s="110" t="s">
        <v>125</v>
      </c>
      <c r="V19" s="110" t="s">
        <v>120</v>
      </c>
      <c r="W19" s="110" t="s">
        <v>121</v>
      </c>
      <c r="X19" s="110" t="s">
        <v>122</v>
      </c>
      <c r="Y19" s="110" t="s">
        <v>128</v>
      </c>
      <c r="Z19" s="110" t="s">
        <v>123</v>
      </c>
      <c r="AA19" s="110" t="s">
        <v>127</v>
      </c>
      <c r="AB19" s="110" t="s">
        <v>126</v>
      </c>
    </row>
    <row r="20" spans="2:29" x14ac:dyDescent="0.25">
      <c r="B20" s="48" t="s">
        <v>83</v>
      </c>
      <c r="C20" s="52">
        <v>41913</v>
      </c>
      <c r="D20" s="33">
        <v>2139047.7200000002</v>
      </c>
      <c r="E20" s="33"/>
      <c r="F20" s="43">
        <v>70658.14</v>
      </c>
      <c r="G20" s="66">
        <v>239981.75</v>
      </c>
      <c r="H20" s="66">
        <v>5086123.1399999997</v>
      </c>
      <c r="I20" s="66">
        <v>58372.55</v>
      </c>
      <c r="J20" s="33"/>
      <c r="K20" s="36"/>
      <c r="L20" s="36"/>
      <c r="M20" s="75"/>
      <c r="N20" s="32">
        <f t="shared" si="1"/>
        <v>7594183.2999999998</v>
      </c>
      <c r="O20" s="36"/>
      <c r="P20" s="36"/>
      <c r="Q20" s="97">
        <v>2014</v>
      </c>
      <c r="R20" s="20" t="s">
        <v>82</v>
      </c>
      <c r="S20" s="21">
        <v>24743868.59</v>
      </c>
      <c r="T20" s="21"/>
      <c r="U20" s="21"/>
      <c r="V20" s="21">
        <v>888932.95000000019</v>
      </c>
      <c r="W20" s="21">
        <v>2992002.5799999996</v>
      </c>
      <c r="X20" s="21">
        <v>44122042.634999998</v>
      </c>
      <c r="Y20" s="21"/>
      <c r="Z20" s="21">
        <v>70556.784999999989</v>
      </c>
      <c r="AA20" s="21"/>
      <c r="AB20" s="21"/>
    </row>
    <row r="21" spans="2:29" x14ac:dyDescent="0.25">
      <c r="B21" s="48" t="s">
        <v>83</v>
      </c>
      <c r="C21" s="52">
        <v>41944</v>
      </c>
      <c r="D21" s="33">
        <v>2171853.59</v>
      </c>
      <c r="E21" s="33"/>
      <c r="F21" s="43">
        <v>69235.850000000006</v>
      </c>
      <c r="G21" s="66">
        <v>267965.57</v>
      </c>
      <c r="H21" s="66">
        <v>3875123.52</v>
      </c>
      <c r="I21" s="66">
        <v>190.5</v>
      </c>
      <c r="J21" s="33"/>
      <c r="K21" s="36"/>
      <c r="L21" s="36"/>
      <c r="M21" s="75"/>
      <c r="N21" s="32">
        <f t="shared" si="1"/>
        <v>6384369.0299999993</v>
      </c>
      <c r="O21" s="36"/>
      <c r="P21" s="36"/>
      <c r="Q21" s="97">
        <v>2015</v>
      </c>
      <c r="R21" s="20" t="s">
        <v>83</v>
      </c>
      <c r="S21" s="21">
        <v>25889559.420000002</v>
      </c>
      <c r="T21" s="21"/>
      <c r="U21" s="21"/>
      <c r="V21" s="21">
        <v>849687.19000000006</v>
      </c>
      <c r="W21" s="21">
        <v>2786345.59</v>
      </c>
      <c r="X21" s="21">
        <v>46710591.099999994</v>
      </c>
      <c r="Y21" s="21"/>
      <c r="Z21" s="21">
        <v>376000.33999999997</v>
      </c>
      <c r="AA21" s="21"/>
      <c r="AB21" s="21">
        <v>150044.60999999999</v>
      </c>
      <c r="AC21" s="110">
        <f t="shared" ref="AC21:AC26" si="2">SUM(S21:AB21)</f>
        <v>76762228.25</v>
      </c>
    </row>
    <row r="22" spans="2:29" x14ac:dyDescent="0.25">
      <c r="B22" s="48" t="s">
        <v>83</v>
      </c>
      <c r="C22" s="52">
        <v>41974</v>
      </c>
      <c r="D22" s="33">
        <v>2244637.7200000002</v>
      </c>
      <c r="E22" s="33"/>
      <c r="F22" s="43">
        <v>71877.14</v>
      </c>
      <c r="G22" s="66">
        <v>192635.71</v>
      </c>
      <c r="H22" s="66">
        <v>3825329.45</v>
      </c>
      <c r="I22" s="66">
        <v>131.05000000000001</v>
      </c>
      <c r="J22" s="33"/>
      <c r="K22" s="36"/>
      <c r="L22" s="36"/>
      <c r="M22" s="75"/>
      <c r="N22" s="32">
        <f t="shared" si="1"/>
        <v>6334611.0700000003</v>
      </c>
      <c r="O22" s="36"/>
      <c r="P22" s="36"/>
      <c r="Q22" s="97">
        <v>2016</v>
      </c>
      <c r="R22" s="20" t="s">
        <v>84</v>
      </c>
      <c r="S22" s="21">
        <v>25141504.650000002</v>
      </c>
      <c r="T22" s="21"/>
      <c r="U22" s="21">
        <v>0</v>
      </c>
      <c r="V22" s="21">
        <v>819669.81000000017</v>
      </c>
      <c r="W22" s="21">
        <v>2986128.7900000005</v>
      </c>
      <c r="X22" s="21">
        <v>46065714.960000008</v>
      </c>
      <c r="Y22" s="21"/>
      <c r="Z22" s="21">
        <v>1464424.1600000001</v>
      </c>
      <c r="AA22" s="21"/>
      <c r="AB22" s="21">
        <v>631177.99</v>
      </c>
      <c r="AC22" s="110">
        <f t="shared" si="2"/>
        <v>77108620.359999999</v>
      </c>
    </row>
    <row r="23" spans="2:29" x14ac:dyDescent="0.25">
      <c r="B23" s="48" t="s">
        <v>83</v>
      </c>
      <c r="C23" s="52">
        <v>42005</v>
      </c>
      <c r="D23" s="33">
        <v>2358763.7200000002</v>
      </c>
      <c r="E23" s="33"/>
      <c r="F23" s="43">
        <v>74346.5</v>
      </c>
      <c r="G23" s="66">
        <v>221632.2</v>
      </c>
      <c r="H23" s="66">
        <v>3574867.9</v>
      </c>
      <c r="I23" s="66">
        <v>27.54</v>
      </c>
      <c r="J23" s="33"/>
      <c r="K23" s="36"/>
      <c r="L23" s="36"/>
      <c r="M23" s="75"/>
      <c r="N23" s="32">
        <f t="shared" si="1"/>
        <v>6229637.8600000003</v>
      </c>
      <c r="O23" s="36"/>
      <c r="P23" s="36"/>
      <c r="Q23" s="97">
        <v>2017</v>
      </c>
      <c r="R23" s="20" t="s">
        <v>85</v>
      </c>
      <c r="S23" s="21">
        <v>22857874.880000003</v>
      </c>
      <c r="T23" s="21"/>
      <c r="U23" s="21">
        <v>272588.11</v>
      </c>
      <c r="V23" s="21">
        <v>821772.76</v>
      </c>
      <c r="W23" s="21">
        <v>2553433.17</v>
      </c>
      <c r="X23" s="21">
        <v>52378458.169999994</v>
      </c>
      <c r="Y23" s="21"/>
      <c r="Z23" s="21">
        <v>1504659.17</v>
      </c>
      <c r="AA23" s="21"/>
      <c r="AB23" s="21">
        <v>1023253.4699999999</v>
      </c>
      <c r="AC23" s="110">
        <f t="shared" si="2"/>
        <v>81412039.730000004</v>
      </c>
    </row>
    <row r="24" spans="2:29" x14ac:dyDescent="0.25">
      <c r="B24" s="48" t="s">
        <v>83</v>
      </c>
      <c r="C24" s="52">
        <v>42036</v>
      </c>
      <c r="D24" s="33">
        <v>2009257.05</v>
      </c>
      <c r="E24" s="33"/>
      <c r="F24" s="43">
        <v>68888.62</v>
      </c>
      <c r="G24" s="66">
        <v>218417.54</v>
      </c>
      <c r="H24" s="66">
        <v>3404273.25</v>
      </c>
      <c r="I24" s="66">
        <v>235380.96</v>
      </c>
      <c r="J24" s="33"/>
      <c r="K24" s="36"/>
      <c r="L24" s="36"/>
      <c r="M24" s="75"/>
      <c r="N24" s="32">
        <f t="shared" si="1"/>
        <v>5936217.4199999999</v>
      </c>
      <c r="O24" s="36"/>
      <c r="P24" s="36"/>
      <c r="Q24" s="97">
        <v>2018</v>
      </c>
      <c r="R24" s="20" t="s">
        <v>86</v>
      </c>
      <c r="S24" s="21">
        <v>22650779.199999999</v>
      </c>
      <c r="T24" s="21">
        <v>0.04</v>
      </c>
      <c r="U24" s="21">
        <v>2487372.75</v>
      </c>
      <c r="V24" s="21">
        <v>759547.15999999992</v>
      </c>
      <c r="W24" s="21">
        <v>1427504.9999999998</v>
      </c>
      <c r="X24" s="21">
        <v>51975553.07</v>
      </c>
      <c r="Y24" s="21">
        <v>187540</v>
      </c>
      <c r="Z24" s="21">
        <v>1177060.4199999997</v>
      </c>
      <c r="AA24" s="21">
        <v>301555</v>
      </c>
      <c r="AB24" s="21">
        <v>623242.80000000005</v>
      </c>
      <c r="AC24" s="110">
        <f t="shared" si="2"/>
        <v>81590155.439999998</v>
      </c>
    </row>
    <row r="25" spans="2:29" x14ac:dyDescent="0.25">
      <c r="B25" s="48" t="s">
        <v>83</v>
      </c>
      <c r="C25" s="52">
        <v>42064</v>
      </c>
      <c r="D25" s="33">
        <v>2197478.87</v>
      </c>
      <c r="E25" s="33"/>
      <c r="F25" s="43">
        <v>74705.509999999995</v>
      </c>
      <c r="G25" s="66">
        <v>267846.38</v>
      </c>
      <c r="H25" s="66">
        <v>3782323.07</v>
      </c>
      <c r="I25" s="66">
        <v>80968.56</v>
      </c>
      <c r="J25" s="33"/>
      <c r="K25" s="36"/>
      <c r="L25" s="36"/>
      <c r="M25" s="75"/>
      <c r="N25" s="32">
        <f t="shared" si="1"/>
        <v>6403322.3899999997</v>
      </c>
      <c r="O25" s="36"/>
      <c r="P25" s="36"/>
      <c r="Q25" s="97">
        <v>2019</v>
      </c>
      <c r="R25" s="20" t="s">
        <v>87</v>
      </c>
      <c r="S25" s="21">
        <v>22619373.930000003</v>
      </c>
      <c r="T25" s="21">
        <v>58229.979999999989</v>
      </c>
      <c r="U25" s="21">
        <v>2927373.8799999994</v>
      </c>
      <c r="V25" s="21">
        <v>783273.75</v>
      </c>
      <c r="W25" s="21">
        <v>1125856.94</v>
      </c>
      <c r="X25" s="21">
        <v>47592059.719999999</v>
      </c>
      <c r="Y25" s="21"/>
      <c r="Z25" s="21">
        <v>418367.24</v>
      </c>
      <c r="AA25" s="21">
        <v>549340</v>
      </c>
      <c r="AB25" s="21">
        <v>278031.09000000003</v>
      </c>
      <c r="AC25" s="110">
        <f t="shared" si="2"/>
        <v>76351906.530000001</v>
      </c>
    </row>
    <row r="26" spans="2:29" x14ac:dyDescent="0.25">
      <c r="B26" s="48" t="s">
        <v>83</v>
      </c>
      <c r="C26" s="52">
        <v>42095</v>
      </c>
      <c r="D26" s="33">
        <v>2065600.54</v>
      </c>
      <c r="E26" s="33"/>
      <c r="F26" s="43">
        <v>67390.13</v>
      </c>
      <c r="G26" s="66">
        <v>158946.06</v>
      </c>
      <c r="H26" s="66">
        <v>3743780.96</v>
      </c>
      <c r="I26" s="66">
        <v>500.57</v>
      </c>
      <c r="J26" s="33"/>
      <c r="K26" s="36"/>
      <c r="L26" s="36"/>
      <c r="M26" s="75"/>
      <c r="N26" s="32">
        <f t="shared" si="1"/>
        <v>6036218.2599999998</v>
      </c>
      <c r="O26" s="36"/>
      <c r="P26" s="36"/>
      <c r="Q26" s="97">
        <v>2020</v>
      </c>
      <c r="R26" s="20" t="s">
        <v>147</v>
      </c>
      <c r="S26" s="21">
        <v>15328608.969999999</v>
      </c>
      <c r="T26" s="21">
        <v>26.98</v>
      </c>
      <c r="U26" s="21">
        <v>2021167.62</v>
      </c>
      <c r="V26" s="21">
        <v>549023.60000000009</v>
      </c>
      <c r="W26" s="21">
        <v>805370.31</v>
      </c>
      <c r="X26" s="21">
        <v>37874039.150000006</v>
      </c>
      <c r="Y26" s="21"/>
      <c r="Z26" s="21">
        <v>886496.18999999983</v>
      </c>
      <c r="AA26" s="21">
        <v>398667</v>
      </c>
      <c r="AB26" s="21">
        <v>181002.77000000002</v>
      </c>
      <c r="AC26" s="110">
        <f t="shared" si="2"/>
        <v>58044402.590000011</v>
      </c>
    </row>
    <row r="27" spans="2:29" x14ac:dyDescent="0.25">
      <c r="B27" s="48" t="s">
        <v>83</v>
      </c>
      <c r="C27" s="52">
        <v>42125</v>
      </c>
      <c r="D27" s="33">
        <v>2187144.7799999998</v>
      </c>
      <c r="E27" s="33"/>
      <c r="F27" s="43">
        <v>71793.97</v>
      </c>
      <c r="G27" s="66">
        <v>230972.3</v>
      </c>
      <c r="H27" s="66">
        <v>3661101.61</v>
      </c>
      <c r="I27" s="66">
        <v>278.18</v>
      </c>
      <c r="J27" s="33"/>
      <c r="K27" s="36">
        <v>72290.16</v>
      </c>
      <c r="L27" s="36"/>
      <c r="M27" s="75"/>
      <c r="N27" s="32">
        <f t="shared" si="1"/>
        <v>6223581</v>
      </c>
      <c r="O27" s="36"/>
      <c r="P27" s="36"/>
      <c r="Q27" s="97">
        <v>2021</v>
      </c>
      <c r="R27" s="20" t="s">
        <v>148</v>
      </c>
      <c r="S27" s="21">
        <v>802276.54</v>
      </c>
      <c r="T27" s="21">
        <v>1.54</v>
      </c>
      <c r="U27" s="21">
        <v>180798.6</v>
      </c>
      <c r="V27" s="21">
        <v>5865</v>
      </c>
      <c r="W27" s="21"/>
      <c r="X27" s="21">
        <v>11249585.810000001</v>
      </c>
      <c r="Y27" s="21"/>
      <c r="Z27" s="21">
        <v>1347.48</v>
      </c>
      <c r="AA27" s="21">
        <v>56315</v>
      </c>
      <c r="AB27" s="21">
        <v>0</v>
      </c>
      <c r="AC27">
        <f>SUM(S27:AB27)</f>
        <v>12296189.970000001</v>
      </c>
    </row>
    <row r="28" spans="2:29" x14ac:dyDescent="0.25">
      <c r="B28" s="48" t="s">
        <v>83</v>
      </c>
      <c r="C28" s="52">
        <v>42156</v>
      </c>
      <c r="D28" s="33">
        <v>2106957.16</v>
      </c>
      <c r="E28" s="33"/>
      <c r="F28" s="43">
        <v>68501.77</v>
      </c>
      <c r="G28" s="66">
        <v>217985.58</v>
      </c>
      <c r="H28" s="66">
        <v>3439831.91</v>
      </c>
      <c r="I28" s="66">
        <v>139.1</v>
      </c>
      <c r="J28" s="33"/>
      <c r="K28" s="36">
        <v>77754.45</v>
      </c>
      <c r="L28" s="36"/>
      <c r="M28" s="76"/>
      <c r="N28" s="32">
        <f t="shared" si="1"/>
        <v>5911169.9699999997</v>
      </c>
      <c r="O28" s="36">
        <f>SUM(N17:N28)</f>
        <v>76762228.25</v>
      </c>
      <c r="P28" s="36">
        <f>SUM(N17:N28)-Summary!J5</f>
        <v>0</v>
      </c>
      <c r="Q28" s="36"/>
      <c r="R28" s="20" t="s">
        <v>89</v>
      </c>
      <c r="S28" s="21">
        <v>160033846.18000001</v>
      </c>
      <c r="T28" s="21">
        <v>58258.539999999994</v>
      </c>
      <c r="U28" s="21">
        <v>7889300.959999999</v>
      </c>
      <c r="V28" s="21">
        <v>5477772.2200000007</v>
      </c>
      <c r="W28" s="21">
        <v>14676642.380000001</v>
      </c>
      <c r="X28" s="21">
        <v>337968044.61499995</v>
      </c>
      <c r="Y28" s="21">
        <v>187540</v>
      </c>
      <c r="Z28" s="21">
        <v>5898911.7850000001</v>
      </c>
      <c r="AA28" s="21">
        <v>1305877</v>
      </c>
      <c r="AB28" s="21">
        <v>2886752.73</v>
      </c>
    </row>
    <row r="29" spans="2:29" x14ac:dyDescent="0.25">
      <c r="B29" s="47" t="s">
        <v>84</v>
      </c>
      <c r="C29" s="57">
        <v>42186</v>
      </c>
      <c r="D29" s="32">
        <v>2130771.91</v>
      </c>
      <c r="E29" s="32"/>
      <c r="F29" s="32">
        <v>66787.08</v>
      </c>
      <c r="G29" s="32">
        <v>257739.4</v>
      </c>
      <c r="H29" s="32">
        <v>3603457</v>
      </c>
      <c r="I29" s="32">
        <v>49026.09</v>
      </c>
      <c r="J29" s="32" t="s">
        <v>112</v>
      </c>
      <c r="K29" s="32" t="s">
        <v>113</v>
      </c>
      <c r="L29" s="32"/>
      <c r="M29" s="74"/>
      <c r="N29" s="32">
        <f t="shared" si="1"/>
        <v>6107781.4800000004</v>
      </c>
      <c r="O29" s="32"/>
      <c r="P29" s="36"/>
      <c r="Q29" s="36"/>
    </row>
    <row r="30" spans="2:29" x14ac:dyDescent="0.25">
      <c r="B30" s="47" t="s">
        <v>84</v>
      </c>
      <c r="C30" s="57">
        <v>42217</v>
      </c>
      <c r="D30" s="32">
        <v>2180432.83</v>
      </c>
      <c r="E30" s="32"/>
      <c r="F30" s="32">
        <v>68000.100000000006</v>
      </c>
      <c r="G30" s="32">
        <v>189554.44</v>
      </c>
      <c r="H30" s="32">
        <v>4404203.7699999996</v>
      </c>
      <c r="I30" s="32">
        <v>74837.98</v>
      </c>
      <c r="J30" s="32"/>
      <c r="K30" s="32" t="s">
        <v>113</v>
      </c>
      <c r="L30" s="32"/>
      <c r="M30" s="74"/>
      <c r="N30" s="32">
        <f t="shared" si="1"/>
        <v>6917029.1200000001</v>
      </c>
      <c r="O30" s="32"/>
      <c r="P30" s="36"/>
      <c r="Q30" s="36"/>
    </row>
    <row r="31" spans="2:29" x14ac:dyDescent="0.25">
      <c r="B31" s="47" t="s">
        <v>84</v>
      </c>
      <c r="C31" s="57">
        <v>42248</v>
      </c>
      <c r="D31" s="32">
        <v>2146650.9</v>
      </c>
      <c r="E31" s="32"/>
      <c r="F31" s="32">
        <v>66749.08</v>
      </c>
      <c r="G31" s="32">
        <v>283063.2</v>
      </c>
      <c r="H31" s="32">
        <v>3765993</v>
      </c>
      <c r="I31" s="32">
        <v>182.91</v>
      </c>
      <c r="J31" s="32"/>
      <c r="K31" s="32">
        <v>36975.26</v>
      </c>
      <c r="L31" s="32"/>
      <c r="M31" s="74"/>
      <c r="N31" s="32">
        <f t="shared" si="1"/>
        <v>6299614.3499999996</v>
      </c>
      <c r="O31" s="32"/>
      <c r="P31" s="36"/>
      <c r="Q31" s="36"/>
    </row>
    <row r="32" spans="2:29" x14ac:dyDescent="0.25">
      <c r="B32" s="47" t="s">
        <v>84</v>
      </c>
      <c r="C32" s="57">
        <v>42278</v>
      </c>
      <c r="D32" s="32">
        <v>2140227.7200000002</v>
      </c>
      <c r="E32" s="32"/>
      <c r="F32" s="32">
        <v>69113.919999999998</v>
      </c>
      <c r="G32" s="32">
        <v>240462.84</v>
      </c>
      <c r="H32" s="32">
        <v>3652561.04</v>
      </c>
      <c r="I32" s="32">
        <v>251997.55</v>
      </c>
      <c r="J32" s="32"/>
      <c r="K32" s="32">
        <v>130872.65</v>
      </c>
      <c r="L32" s="32"/>
      <c r="M32" s="74"/>
      <c r="N32" s="32">
        <f t="shared" si="1"/>
        <v>6485235.7199999997</v>
      </c>
      <c r="O32" s="32"/>
      <c r="P32" s="36"/>
      <c r="Q32" s="36"/>
    </row>
    <row r="33" spans="2:17" x14ac:dyDescent="0.25">
      <c r="B33" s="47" t="s">
        <v>84</v>
      </c>
      <c r="C33" s="57">
        <v>42309</v>
      </c>
      <c r="D33" s="32">
        <v>2013766.08</v>
      </c>
      <c r="E33" s="32"/>
      <c r="F33" s="32">
        <v>65651.960000000006</v>
      </c>
      <c r="G33" s="32">
        <v>197242.03</v>
      </c>
      <c r="H33" s="32">
        <v>3685366.89</v>
      </c>
      <c r="I33" s="32">
        <v>195475.78</v>
      </c>
      <c r="J33" s="32"/>
      <c r="K33" s="32" t="s">
        <v>113</v>
      </c>
      <c r="L33" s="32"/>
      <c r="M33" s="74"/>
      <c r="N33" s="32">
        <f t="shared" si="1"/>
        <v>6157502.7400000002</v>
      </c>
      <c r="O33" s="32"/>
      <c r="P33" s="36"/>
      <c r="Q33" s="36"/>
    </row>
    <row r="34" spans="2:17" x14ac:dyDescent="0.25">
      <c r="B34" s="47" t="s">
        <v>84</v>
      </c>
      <c r="C34" s="57">
        <v>42339</v>
      </c>
      <c r="D34" s="32">
        <v>2154319.89</v>
      </c>
      <c r="E34" s="32"/>
      <c r="F34" s="32">
        <v>72666.52</v>
      </c>
      <c r="G34" s="32">
        <v>275925.95</v>
      </c>
      <c r="H34" s="32">
        <v>4028581.76</v>
      </c>
      <c r="I34" s="32">
        <v>83245.62</v>
      </c>
      <c r="J34" s="32"/>
      <c r="K34" s="32">
        <v>43804.67</v>
      </c>
      <c r="L34" s="32"/>
      <c r="M34" s="74"/>
      <c r="N34" s="32">
        <f t="shared" si="1"/>
        <v>6658544.4100000001</v>
      </c>
      <c r="O34" s="32"/>
      <c r="P34" s="36"/>
      <c r="Q34" s="36"/>
    </row>
    <row r="35" spans="2:17" x14ac:dyDescent="0.25">
      <c r="B35" s="47" t="s">
        <v>84</v>
      </c>
      <c r="C35" s="57">
        <v>42370</v>
      </c>
      <c r="D35" s="32">
        <v>2279256.4900000002</v>
      </c>
      <c r="E35" s="32"/>
      <c r="F35" s="32">
        <v>74085.97</v>
      </c>
      <c r="G35" s="32">
        <v>268141.84999999998</v>
      </c>
      <c r="H35" s="32">
        <v>4063867.85</v>
      </c>
      <c r="I35" s="32">
        <v>78176.91</v>
      </c>
      <c r="J35" s="32"/>
      <c r="K35" s="32">
        <v>15903.1</v>
      </c>
      <c r="L35" s="32"/>
      <c r="M35" s="74"/>
      <c r="N35" s="32">
        <f t="shared" si="1"/>
        <v>6779432.1699999999</v>
      </c>
      <c r="O35" s="32"/>
      <c r="P35" s="36"/>
      <c r="Q35" s="36"/>
    </row>
    <row r="36" spans="2:17" x14ac:dyDescent="0.25">
      <c r="B36" s="47" t="s">
        <v>84</v>
      </c>
      <c r="C36" s="57">
        <v>42401</v>
      </c>
      <c r="D36" s="32">
        <v>1995304.55</v>
      </c>
      <c r="E36" s="32"/>
      <c r="F36" s="32">
        <v>67285.61</v>
      </c>
      <c r="G36" s="32">
        <v>219140.1</v>
      </c>
      <c r="H36" s="32">
        <v>3856383.78</v>
      </c>
      <c r="I36" s="32">
        <v>292010.90999999997</v>
      </c>
      <c r="J36" s="32"/>
      <c r="K36" s="32">
        <v>46508.01</v>
      </c>
      <c r="L36" s="32"/>
      <c r="M36" s="74"/>
      <c r="N36" s="32">
        <f t="shared" si="1"/>
        <v>6476632.96</v>
      </c>
      <c r="O36" s="32"/>
      <c r="P36" s="36"/>
      <c r="Q36" s="36"/>
    </row>
    <row r="37" spans="2:17" x14ac:dyDescent="0.25">
      <c r="B37" s="47" t="s">
        <v>84</v>
      </c>
      <c r="C37" s="57">
        <v>42430</v>
      </c>
      <c r="D37" s="32">
        <v>2124100.37</v>
      </c>
      <c r="E37" s="32"/>
      <c r="F37" s="32">
        <v>69711.070000000007</v>
      </c>
      <c r="G37" s="32">
        <v>211538.1</v>
      </c>
      <c r="H37" s="32">
        <v>3678682.85</v>
      </c>
      <c r="I37" s="32">
        <v>149420.04999999999</v>
      </c>
      <c r="J37" s="32"/>
      <c r="K37" s="32">
        <v>43881.86</v>
      </c>
      <c r="L37" s="32"/>
      <c r="M37" s="74"/>
      <c r="N37" s="32">
        <f t="shared" si="1"/>
        <v>6277334.3000000007</v>
      </c>
      <c r="O37" s="32"/>
      <c r="P37" s="36"/>
      <c r="Q37" s="36"/>
    </row>
    <row r="38" spans="2:17" x14ac:dyDescent="0.25">
      <c r="B38" s="47" t="s">
        <v>84</v>
      </c>
      <c r="C38" s="57">
        <v>42461</v>
      </c>
      <c r="D38" s="32">
        <v>2039859.42</v>
      </c>
      <c r="E38" s="32"/>
      <c r="F38" s="32">
        <v>65704.66</v>
      </c>
      <c r="G38" s="32">
        <v>233009.74</v>
      </c>
      <c r="H38" s="32">
        <v>4055281.43</v>
      </c>
      <c r="I38" s="32">
        <v>171150.5</v>
      </c>
      <c r="J38" s="32"/>
      <c r="K38" s="32">
        <v>47497.59</v>
      </c>
      <c r="L38" s="32"/>
      <c r="M38" s="74"/>
      <c r="N38" s="32">
        <f t="shared" si="1"/>
        <v>6612503.3399999999</v>
      </c>
      <c r="O38" s="32"/>
      <c r="P38" s="36"/>
      <c r="Q38" s="36"/>
    </row>
    <row r="39" spans="2:17" x14ac:dyDescent="0.25">
      <c r="B39" s="47" t="s">
        <v>84</v>
      </c>
      <c r="C39" s="57">
        <v>42491</v>
      </c>
      <c r="D39" s="32">
        <v>1981591.31</v>
      </c>
      <c r="E39" s="32"/>
      <c r="F39" s="32">
        <v>67885.69</v>
      </c>
      <c r="G39" s="32">
        <v>209263.54</v>
      </c>
      <c r="H39" s="32">
        <v>3530375.02</v>
      </c>
      <c r="I39" s="32">
        <v>118685</v>
      </c>
      <c r="J39" s="32"/>
      <c r="K39" s="32">
        <v>50846.239999999998</v>
      </c>
      <c r="L39" s="32"/>
      <c r="M39" s="74"/>
      <c r="N39" s="32">
        <f t="shared" si="1"/>
        <v>5958646.8000000007</v>
      </c>
      <c r="O39" s="32"/>
      <c r="P39" s="36"/>
      <c r="Q39" s="36"/>
    </row>
    <row r="40" spans="2:17" x14ac:dyDescent="0.25">
      <c r="B40" s="47" t="s">
        <v>84</v>
      </c>
      <c r="C40" s="57">
        <v>42522</v>
      </c>
      <c r="D40" s="32">
        <v>1955223.18</v>
      </c>
      <c r="E40" s="32"/>
      <c r="F40" s="32">
        <v>66028.149999999994</v>
      </c>
      <c r="G40" s="32">
        <v>401047.6</v>
      </c>
      <c r="H40" s="32">
        <v>3740960.57</v>
      </c>
      <c r="I40" s="32">
        <v>214.86</v>
      </c>
      <c r="J40" s="32"/>
      <c r="K40" s="32">
        <v>214888.61</v>
      </c>
      <c r="L40" s="32"/>
      <c r="M40" s="74"/>
      <c r="N40" s="32">
        <f t="shared" si="1"/>
        <v>6378362.9700000007</v>
      </c>
      <c r="O40" s="32">
        <f>SUM(N29:N40)</f>
        <v>77108620.360000014</v>
      </c>
      <c r="P40" s="36">
        <f>SUM(N29:N40)-Summary!J6</f>
        <v>0</v>
      </c>
      <c r="Q40" s="36"/>
    </row>
    <row r="41" spans="2:17" x14ac:dyDescent="0.25">
      <c r="B41" s="48" t="s">
        <v>85</v>
      </c>
      <c r="C41" s="52">
        <v>42552</v>
      </c>
      <c r="D41" s="33">
        <v>2086014.28</v>
      </c>
      <c r="E41" s="33"/>
      <c r="F41" s="33">
        <v>70616.179999999993</v>
      </c>
      <c r="G41" s="33">
        <v>225153.97</v>
      </c>
      <c r="H41" s="33">
        <v>3974266.59</v>
      </c>
      <c r="I41" s="33">
        <v>166529.31</v>
      </c>
      <c r="J41" s="33"/>
      <c r="K41" s="33">
        <v>47330.83</v>
      </c>
      <c r="L41" s="36"/>
      <c r="N41" s="32">
        <f t="shared" si="1"/>
        <v>6569911.1599999992</v>
      </c>
      <c r="O41" s="36"/>
      <c r="P41" s="36"/>
      <c r="Q41" s="36"/>
    </row>
    <row r="42" spans="2:17" x14ac:dyDescent="0.25">
      <c r="B42" s="48" t="s">
        <v>85</v>
      </c>
      <c r="C42" s="52">
        <v>42583</v>
      </c>
      <c r="D42" s="33">
        <v>1960298.73</v>
      </c>
      <c r="E42" s="33"/>
      <c r="F42" s="33">
        <v>68033.679999999993</v>
      </c>
      <c r="G42" s="33">
        <v>210256.8</v>
      </c>
      <c r="H42" s="33">
        <v>3850398.69</v>
      </c>
      <c r="I42" s="33">
        <v>266224.24</v>
      </c>
      <c r="J42" s="33"/>
      <c r="K42" s="33">
        <v>50826.39</v>
      </c>
      <c r="L42" s="36"/>
      <c r="N42" s="32">
        <f t="shared" si="1"/>
        <v>6406038.5300000003</v>
      </c>
      <c r="O42" s="36"/>
      <c r="P42" s="36"/>
      <c r="Q42" s="36"/>
    </row>
    <row r="43" spans="2:17" x14ac:dyDescent="0.25">
      <c r="B43" s="48" t="s">
        <v>85</v>
      </c>
      <c r="C43" s="52">
        <v>42614</v>
      </c>
      <c r="D43" s="33">
        <v>2011197.82</v>
      </c>
      <c r="E43" s="33"/>
      <c r="F43" s="33">
        <v>67275.399999999994</v>
      </c>
      <c r="G43" s="33">
        <v>173505.55</v>
      </c>
      <c r="H43" s="33">
        <v>5026597.3</v>
      </c>
      <c r="I43" s="33">
        <v>840.3</v>
      </c>
      <c r="J43" s="33"/>
      <c r="K43" s="33">
        <v>47448.91</v>
      </c>
      <c r="L43" s="36"/>
      <c r="N43" s="32">
        <f t="shared" si="1"/>
        <v>7326865.2800000003</v>
      </c>
      <c r="O43" s="36"/>
      <c r="P43" s="36"/>
      <c r="Q43" s="36"/>
    </row>
    <row r="44" spans="2:17" x14ac:dyDescent="0.25">
      <c r="B44" s="48" t="s">
        <v>85</v>
      </c>
      <c r="C44" s="52">
        <v>42644</v>
      </c>
      <c r="D44" s="33">
        <v>1939329.07</v>
      </c>
      <c r="E44" s="33"/>
      <c r="F44" s="33">
        <v>70475.13</v>
      </c>
      <c r="G44" s="33">
        <v>197065.31</v>
      </c>
      <c r="H44" s="33">
        <v>5040607.32</v>
      </c>
      <c r="I44" s="33">
        <v>59510.61</v>
      </c>
      <c r="J44" s="33"/>
      <c r="K44" s="33">
        <v>57275.6</v>
      </c>
      <c r="L44" s="36"/>
      <c r="N44" s="32">
        <f t="shared" si="1"/>
        <v>7364263.04</v>
      </c>
      <c r="O44" s="36"/>
      <c r="P44" s="36"/>
      <c r="Q44" s="36"/>
    </row>
    <row r="45" spans="2:17" x14ac:dyDescent="0.25">
      <c r="B45" s="48" t="s">
        <v>85</v>
      </c>
      <c r="C45" s="52">
        <v>42675</v>
      </c>
      <c r="D45" s="33">
        <v>1801129.85</v>
      </c>
      <c r="E45" s="33"/>
      <c r="F45" s="33">
        <v>65756.37</v>
      </c>
      <c r="G45" s="33">
        <v>100684.98</v>
      </c>
      <c r="H45" s="33">
        <v>5426113.6900000004</v>
      </c>
      <c r="I45" s="33">
        <v>99215.62</v>
      </c>
      <c r="J45" s="33">
        <v>27</v>
      </c>
      <c r="K45" s="33">
        <v>48716.87</v>
      </c>
      <c r="L45" s="36"/>
      <c r="N45" s="32">
        <f t="shared" si="1"/>
        <v>7541644.3800000008</v>
      </c>
      <c r="O45" s="36"/>
      <c r="P45" s="36"/>
      <c r="Q45" s="36"/>
    </row>
    <row r="46" spans="2:17" x14ac:dyDescent="0.25">
      <c r="B46" s="48" t="s">
        <v>85</v>
      </c>
      <c r="C46" s="52">
        <v>42705</v>
      </c>
      <c r="D46" s="33">
        <v>1953444.08</v>
      </c>
      <c r="E46" s="33"/>
      <c r="F46" s="33">
        <v>70924.67</v>
      </c>
      <c r="G46" s="33">
        <v>297322.12</v>
      </c>
      <c r="H46" s="33">
        <v>4355022.59</v>
      </c>
      <c r="I46" s="33">
        <v>173808.63</v>
      </c>
      <c r="J46" s="33"/>
      <c r="K46" s="33">
        <v>55878.2</v>
      </c>
      <c r="L46" s="36"/>
      <c r="N46" s="32">
        <f t="shared" si="1"/>
        <v>6906400.29</v>
      </c>
      <c r="O46" s="36"/>
      <c r="P46" s="36"/>
      <c r="Q46" s="36"/>
    </row>
    <row r="47" spans="2:17" x14ac:dyDescent="0.25">
      <c r="B47" s="48" t="s">
        <v>85</v>
      </c>
      <c r="C47" s="101">
        <v>42736</v>
      </c>
      <c r="D47" s="102">
        <v>2101605.4</v>
      </c>
      <c r="E47" s="102"/>
      <c r="F47" s="102">
        <v>76943.600000000006</v>
      </c>
      <c r="G47" s="102">
        <v>690825.9</v>
      </c>
      <c r="H47" s="102">
        <v>4360825.3499999996</v>
      </c>
      <c r="I47" s="102">
        <v>370105.9</v>
      </c>
      <c r="J47" s="102">
        <v>1013.67</v>
      </c>
      <c r="K47" s="102">
        <v>63720.5</v>
      </c>
      <c r="L47" s="102"/>
      <c r="M47" s="103"/>
      <c r="N47" s="32">
        <f t="shared" si="1"/>
        <v>7665040.3200000003</v>
      </c>
      <c r="O47" s="36"/>
      <c r="P47" s="36"/>
      <c r="Q47" s="36"/>
    </row>
    <row r="48" spans="2:17" x14ac:dyDescent="0.25">
      <c r="B48" s="48" t="s">
        <v>85</v>
      </c>
      <c r="C48" s="52">
        <v>42767</v>
      </c>
      <c r="D48" s="33">
        <v>1741916.31</v>
      </c>
      <c r="E48" s="33"/>
      <c r="F48" s="33">
        <v>67905.88</v>
      </c>
      <c r="G48" s="33">
        <v>101525.44</v>
      </c>
      <c r="H48" s="33">
        <v>4812055.47</v>
      </c>
      <c r="I48" s="33">
        <v>92351.02</v>
      </c>
      <c r="J48" s="33">
        <v>26939.67</v>
      </c>
      <c r="K48" s="33">
        <v>106373.23</v>
      </c>
      <c r="L48" s="36"/>
      <c r="N48" s="32">
        <f t="shared" si="1"/>
        <v>6949067.0199999996</v>
      </c>
      <c r="O48" s="36"/>
      <c r="P48" s="36"/>
      <c r="Q48" s="36"/>
    </row>
    <row r="49" spans="2:17" x14ac:dyDescent="0.25">
      <c r="B49" s="48" t="s">
        <v>85</v>
      </c>
      <c r="C49" s="52">
        <v>42795</v>
      </c>
      <c r="D49" s="33">
        <v>1878940.44</v>
      </c>
      <c r="E49" s="33"/>
      <c r="F49" s="33">
        <v>70312.72</v>
      </c>
      <c r="G49" s="33">
        <v>134390.32999999999</v>
      </c>
      <c r="H49" s="33">
        <v>3653869.08</v>
      </c>
      <c r="I49" s="33">
        <v>395.28</v>
      </c>
      <c r="J49" s="33">
        <v>58152.81</v>
      </c>
      <c r="K49" s="33">
        <v>164299.63</v>
      </c>
      <c r="L49" s="36"/>
      <c r="N49" s="32">
        <f t="shared" si="1"/>
        <v>5960360.29</v>
      </c>
      <c r="O49" s="36"/>
      <c r="P49" s="36"/>
      <c r="Q49" s="36"/>
    </row>
    <row r="50" spans="2:17" x14ac:dyDescent="0.25">
      <c r="B50" s="48" t="s">
        <v>85</v>
      </c>
      <c r="C50" s="52">
        <v>42826</v>
      </c>
      <c r="D50" s="33">
        <v>1875643.08</v>
      </c>
      <c r="E50" s="33"/>
      <c r="F50" s="33">
        <v>65676.320000000007</v>
      </c>
      <c r="G50" s="33">
        <v>142309.46</v>
      </c>
      <c r="H50" s="33">
        <v>3641606.39</v>
      </c>
      <c r="I50" s="33">
        <v>54035.57</v>
      </c>
      <c r="J50" s="33">
        <v>104518.84</v>
      </c>
      <c r="K50" s="33">
        <v>145804.68</v>
      </c>
      <c r="L50" s="36"/>
      <c r="N50" s="32">
        <f t="shared" si="1"/>
        <v>6029594.3399999999</v>
      </c>
      <c r="O50" s="36"/>
      <c r="P50" s="36"/>
      <c r="Q50" s="36"/>
    </row>
    <row r="51" spans="2:17" x14ac:dyDescent="0.25">
      <c r="B51" s="48" t="s">
        <v>85</v>
      </c>
      <c r="C51" s="52">
        <v>42856</v>
      </c>
      <c r="D51" s="33">
        <v>1783233.7</v>
      </c>
      <c r="E51" s="33"/>
      <c r="F51" s="33">
        <v>65609.279999999999</v>
      </c>
      <c r="G51" s="33">
        <v>144841.54999999999</v>
      </c>
      <c r="H51" s="33">
        <v>3931169.44</v>
      </c>
      <c r="I51" s="33">
        <v>169208.36</v>
      </c>
      <c r="J51" s="33">
        <v>40724.46</v>
      </c>
      <c r="K51" s="33">
        <v>97010.91</v>
      </c>
      <c r="L51" s="36"/>
      <c r="N51" s="32">
        <f t="shared" si="1"/>
        <v>6231797.7000000002</v>
      </c>
      <c r="O51" s="36"/>
      <c r="P51" s="36"/>
      <c r="Q51" s="36"/>
    </row>
    <row r="52" spans="2:17" x14ac:dyDescent="0.25">
      <c r="B52" s="48" t="s">
        <v>85</v>
      </c>
      <c r="C52" s="52">
        <v>42887</v>
      </c>
      <c r="D52" s="33">
        <v>1725122.12</v>
      </c>
      <c r="E52" s="33"/>
      <c r="F52" s="33">
        <v>62243.53</v>
      </c>
      <c r="G52" s="33">
        <v>135551.76</v>
      </c>
      <c r="H52" s="33">
        <v>4305926.26</v>
      </c>
      <c r="I52" s="33">
        <v>52434.33</v>
      </c>
      <c r="J52" s="33">
        <v>41211.660000000003</v>
      </c>
      <c r="K52" s="33">
        <v>138567.72</v>
      </c>
      <c r="L52" s="36"/>
      <c r="N52" s="32">
        <f t="shared" si="1"/>
        <v>6461057.3799999999</v>
      </c>
      <c r="O52" s="36">
        <f>SUM(N41:N52)</f>
        <v>81412039.729999989</v>
      </c>
      <c r="P52" s="36">
        <f>SUM(N41:N52)-Summary!J7</f>
        <v>0</v>
      </c>
      <c r="Q52" s="36"/>
    </row>
    <row r="53" spans="2:17" x14ac:dyDescent="0.25">
      <c r="B53" s="47" t="s">
        <v>86</v>
      </c>
      <c r="C53" s="57">
        <v>42917</v>
      </c>
      <c r="D53" s="31">
        <v>1846162.26</v>
      </c>
      <c r="E53" s="32">
        <v>0.02</v>
      </c>
      <c r="F53" s="32">
        <v>64784.69</v>
      </c>
      <c r="G53" s="32">
        <v>184587.23</v>
      </c>
      <c r="H53" s="32">
        <v>4549867.0199999996</v>
      </c>
      <c r="I53" s="32">
        <v>213317.17</v>
      </c>
      <c r="J53" s="32">
        <v>101777.35</v>
      </c>
      <c r="K53" s="32">
        <v>237257.57</v>
      </c>
      <c r="L53" s="32"/>
      <c r="M53" s="74"/>
      <c r="N53" s="32">
        <f t="shared" si="1"/>
        <v>7197753.3099999996</v>
      </c>
      <c r="O53" s="32"/>
      <c r="P53" s="36"/>
      <c r="Q53" s="36"/>
    </row>
    <row r="54" spans="2:17" x14ac:dyDescent="0.25">
      <c r="B54" s="47" t="s">
        <v>86</v>
      </c>
      <c r="C54" s="57">
        <v>42948</v>
      </c>
      <c r="D54" s="31">
        <v>1848999.61</v>
      </c>
      <c r="E54" s="32"/>
      <c r="F54" s="32">
        <v>63128.05</v>
      </c>
      <c r="G54" s="32">
        <v>187576.02</v>
      </c>
      <c r="H54" s="32">
        <v>4366911.28</v>
      </c>
      <c r="I54" s="32">
        <v>104231.47</v>
      </c>
      <c r="J54" s="32">
        <v>181921.39</v>
      </c>
      <c r="K54" s="32">
        <v>19782.36</v>
      </c>
      <c r="L54" s="32"/>
      <c r="M54" s="74"/>
      <c r="N54" s="32">
        <f t="shared" si="1"/>
        <v>6772550.1800000006</v>
      </c>
      <c r="O54" s="32"/>
      <c r="P54" s="36"/>
      <c r="Q54" s="36"/>
    </row>
    <row r="55" spans="2:17" x14ac:dyDescent="0.25">
      <c r="B55" s="47" t="s">
        <v>86</v>
      </c>
      <c r="C55" s="57">
        <v>42979</v>
      </c>
      <c r="D55" s="31">
        <v>1865804.58</v>
      </c>
      <c r="E55" s="32"/>
      <c r="F55" s="32">
        <v>63265.21</v>
      </c>
      <c r="G55" s="32">
        <v>154434.4</v>
      </c>
      <c r="H55" s="32">
        <v>3864713.71</v>
      </c>
      <c r="I55" s="32">
        <v>77638.87</v>
      </c>
      <c r="J55" s="32">
        <v>221090.82</v>
      </c>
      <c r="K55" s="32"/>
      <c r="L55" s="32"/>
      <c r="M55" s="74">
        <v>62710</v>
      </c>
      <c r="N55" s="32">
        <f t="shared" si="1"/>
        <v>6309657.5900000008</v>
      </c>
      <c r="O55" s="32"/>
      <c r="P55" s="36"/>
      <c r="Q55" s="36"/>
    </row>
    <row r="56" spans="2:17" x14ac:dyDescent="0.25">
      <c r="B56" s="47" t="s">
        <v>86</v>
      </c>
      <c r="C56" s="57">
        <v>43009</v>
      </c>
      <c r="D56" s="31">
        <v>1865795.26</v>
      </c>
      <c r="E56" s="32"/>
      <c r="F56" s="32">
        <v>66022</v>
      </c>
      <c r="G56" s="32">
        <v>111725.18</v>
      </c>
      <c r="H56" s="32">
        <v>4576670.66</v>
      </c>
      <c r="I56" s="32">
        <v>293812.19</v>
      </c>
      <c r="J56" s="32"/>
      <c r="K56" s="32"/>
      <c r="L56" s="32"/>
      <c r="M56" s="74"/>
      <c r="N56" s="32">
        <f t="shared" si="1"/>
        <v>6914025.29</v>
      </c>
      <c r="O56" s="32"/>
      <c r="P56" s="36"/>
      <c r="Q56" s="36"/>
    </row>
    <row r="57" spans="2:17" x14ac:dyDescent="0.25">
      <c r="B57" s="47" t="s">
        <v>86</v>
      </c>
      <c r="C57" s="57">
        <v>43040</v>
      </c>
      <c r="D57" s="31">
        <v>1827526.03</v>
      </c>
      <c r="E57" s="32"/>
      <c r="F57" s="32">
        <v>62773.43</v>
      </c>
      <c r="G57" s="32">
        <v>90615.98</v>
      </c>
      <c r="H57" s="32">
        <v>4813577.6399999997</v>
      </c>
      <c r="I57" s="32">
        <v>2361.9499999999998</v>
      </c>
      <c r="J57" s="32">
        <v>229622.44</v>
      </c>
      <c r="K57" s="32">
        <v>83116.56</v>
      </c>
      <c r="L57" s="32"/>
      <c r="M57" s="74">
        <v>56200</v>
      </c>
      <c r="N57" s="32">
        <f t="shared" si="1"/>
        <v>7165794.0300000003</v>
      </c>
      <c r="O57" s="32"/>
      <c r="P57" s="36"/>
      <c r="Q57" s="36"/>
    </row>
    <row r="58" spans="2:17" x14ac:dyDescent="0.25">
      <c r="B58" s="47" t="s">
        <v>86</v>
      </c>
      <c r="C58" s="57">
        <v>43070</v>
      </c>
      <c r="D58" s="31">
        <v>1937232.34</v>
      </c>
      <c r="E58" s="32">
        <v>0.01</v>
      </c>
      <c r="F58" s="32">
        <v>64424.98</v>
      </c>
      <c r="G58" s="32">
        <v>92420.94</v>
      </c>
      <c r="H58" s="32">
        <v>4033517</v>
      </c>
      <c r="I58" s="32">
        <v>266.64999999999998</v>
      </c>
      <c r="J58" s="32">
        <v>186014.15</v>
      </c>
      <c r="K58" s="32">
        <v>42551.03</v>
      </c>
      <c r="L58" s="32"/>
      <c r="M58" s="74">
        <v>68630</v>
      </c>
      <c r="N58" s="32">
        <f t="shared" si="1"/>
        <v>6425057.1000000006</v>
      </c>
      <c r="O58" s="32"/>
      <c r="P58" s="36"/>
      <c r="Q58" s="36"/>
    </row>
    <row r="59" spans="2:17" x14ac:dyDescent="0.25">
      <c r="B59" s="47" t="s">
        <v>86</v>
      </c>
      <c r="C59" s="57">
        <v>43101</v>
      </c>
      <c r="D59" s="31">
        <v>2038742.95</v>
      </c>
      <c r="E59" s="32"/>
      <c r="F59" s="32">
        <v>67233.789999999994</v>
      </c>
      <c r="G59" s="32">
        <v>116152.72</v>
      </c>
      <c r="H59" s="32">
        <v>4962698.9000000004</v>
      </c>
      <c r="I59" s="32">
        <v>211084.75</v>
      </c>
      <c r="J59" s="32">
        <v>198347.64</v>
      </c>
      <c r="K59" s="32">
        <v>15751.38</v>
      </c>
      <c r="L59" s="32">
        <v>58800</v>
      </c>
      <c r="M59" s="74"/>
      <c r="N59" s="32">
        <f t="shared" si="1"/>
        <v>7668812.1299999999</v>
      </c>
      <c r="O59" s="32"/>
      <c r="P59" s="36"/>
      <c r="Q59" s="36"/>
    </row>
    <row r="60" spans="2:17" x14ac:dyDescent="0.25">
      <c r="B60" s="47" t="s">
        <v>86</v>
      </c>
      <c r="C60" s="57">
        <v>43132</v>
      </c>
      <c r="D60" s="31">
        <v>1775142.86</v>
      </c>
      <c r="E60" s="32"/>
      <c r="F60" s="32">
        <v>61417.8</v>
      </c>
      <c r="G60" s="32">
        <v>93496.86</v>
      </c>
      <c r="H60" s="32">
        <v>4383501.6399999997</v>
      </c>
      <c r="I60" s="32">
        <v>211896.11</v>
      </c>
      <c r="J60" s="32">
        <v>234897.83</v>
      </c>
      <c r="K60" s="32">
        <v>7840.71</v>
      </c>
      <c r="L60" s="32">
        <v>45025</v>
      </c>
      <c r="M60" s="74"/>
      <c r="N60" s="32">
        <f t="shared" si="1"/>
        <v>6813218.8100000005</v>
      </c>
      <c r="O60" s="32"/>
      <c r="P60" s="36"/>
      <c r="Q60" s="36"/>
    </row>
    <row r="61" spans="2:17" x14ac:dyDescent="0.25">
      <c r="B61" s="47" t="s">
        <v>86</v>
      </c>
      <c r="C61" s="57">
        <v>43160</v>
      </c>
      <c r="D61" s="31">
        <v>1972270.65</v>
      </c>
      <c r="E61" s="32"/>
      <c r="F61" s="32">
        <v>64557.63</v>
      </c>
      <c r="G61" s="32">
        <v>154530.07999999999</v>
      </c>
      <c r="H61" s="32">
        <v>3733324.33</v>
      </c>
      <c r="I61" s="32">
        <v>2688.15</v>
      </c>
      <c r="J61" s="32">
        <v>180280.47</v>
      </c>
      <c r="K61" s="32">
        <v>27590.18</v>
      </c>
      <c r="L61" s="32">
        <v>52265</v>
      </c>
      <c r="M61" s="74"/>
      <c r="N61" s="32">
        <f t="shared" si="1"/>
        <v>6187506.4899999993</v>
      </c>
      <c r="O61" s="32"/>
      <c r="P61" s="36"/>
      <c r="Q61" s="36"/>
    </row>
    <row r="62" spans="2:17" x14ac:dyDescent="0.25">
      <c r="B62" s="47" t="s">
        <v>86</v>
      </c>
      <c r="C62" s="57">
        <v>43191</v>
      </c>
      <c r="D62" s="31">
        <v>1915433.28</v>
      </c>
      <c r="E62" s="32">
        <v>0.01</v>
      </c>
      <c r="F62" s="32">
        <v>61324.33</v>
      </c>
      <c r="G62" s="32">
        <v>119228.18</v>
      </c>
      <c r="H62" s="32">
        <v>3748694.53</v>
      </c>
      <c r="I62" s="32">
        <v>23158.74</v>
      </c>
      <c r="J62" s="32">
        <v>204508.32</v>
      </c>
      <c r="K62" s="32">
        <v>171441.88</v>
      </c>
      <c r="L62" s="32">
        <v>47340</v>
      </c>
      <c r="M62" s="74"/>
      <c r="N62" s="32">
        <f t="shared" si="1"/>
        <v>6291129.2700000005</v>
      </c>
      <c r="O62" s="32"/>
      <c r="P62" s="36"/>
      <c r="Q62" s="36"/>
    </row>
    <row r="63" spans="2:17" x14ac:dyDescent="0.25">
      <c r="B63" s="47" t="s">
        <v>86</v>
      </c>
      <c r="C63" s="57">
        <v>43221</v>
      </c>
      <c r="D63" s="31">
        <v>1878314.14</v>
      </c>
      <c r="E63" s="32"/>
      <c r="F63" s="32">
        <v>61739</v>
      </c>
      <c r="G63" s="32">
        <v>70669.259999999995</v>
      </c>
      <c r="H63" s="32">
        <v>4492968.24</v>
      </c>
      <c r="I63" s="32">
        <f>2152.9+50</f>
        <v>2202.9</v>
      </c>
      <c r="J63" s="32">
        <v>527292.51</v>
      </c>
      <c r="K63" s="32">
        <v>14750.8</v>
      </c>
      <c r="L63" s="32">
        <v>46885</v>
      </c>
      <c r="M63" s="74"/>
      <c r="N63" s="32">
        <f t="shared" si="1"/>
        <v>7094821.8500000006</v>
      </c>
      <c r="O63" s="32"/>
      <c r="P63" s="36"/>
      <c r="Q63" s="36"/>
    </row>
    <row r="64" spans="2:17" x14ac:dyDescent="0.25">
      <c r="B64" s="47" t="s">
        <v>86</v>
      </c>
      <c r="C64" s="57">
        <v>43252</v>
      </c>
      <c r="D64" s="31">
        <v>1879355.24</v>
      </c>
      <c r="E64" s="32"/>
      <c r="F64" s="32">
        <v>58876.25</v>
      </c>
      <c r="G64" s="32">
        <v>52068.15</v>
      </c>
      <c r="H64" s="32">
        <v>4449108.12</v>
      </c>
      <c r="I64" s="32">
        <v>34401.47</v>
      </c>
      <c r="J64" s="32">
        <v>221619.83</v>
      </c>
      <c r="K64" s="32">
        <v>3160.33</v>
      </c>
      <c r="L64" s="32">
        <v>51240</v>
      </c>
      <c r="M64" s="74"/>
      <c r="N64" s="32">
        <f t="shared" si="1"/>
        <v>6749829.3899999997</v>
      </c>
      <c r="O64" s="32">
        <f>SUM(N53:N64)-Summary!J8</f>
        <v>0</v>
      </c>
      <c r="P64" s="36">
        <f>+SUM(N53:N64)-Summary!J8</f>
        <v>0</v>
      </c>
      <c r="Q64" s="36"/>
    </row>
    <row r="65" spans="2:17" x14ac:dyDescent="0.25">
      <c r="B65" s="48" t="s">
        <v>87</v>
      </c>
      <c r="C65" s="52">
        <v>43282</v>
      </c>
      <c r="D65" s="33">
        <v>1915120.3</v>
      </c>
      <c r="E65" s="33">
        <v>21103.8</v>
      </c>
      <c r="F65" s="33">
        <v>61808.47</v>
      </c>
      <c r="G65" s="33">
        <v>86517.31</v>
      </c>
      <c r="H65" s="33">
        <v>3240745.39</v>
      </c>
      <c r="I65" s="33">
        <v>51.05</v>
      </c>
      <c r="J65" s="33">
        <v>598134.25</v>
      </c>
      <c r="K65" s="36"/>
      <c r="L65" s="36">
        <v>50855</v>
      </c>
      <c r="N65" s="32">
        <f t="shared" si="1"/>
        <v>5974335.5700000003</v>
      </c>
      <c r="O65" s="36"/>
      <c r="P65" s="36"/>
      <c r="Q65" s="36"/>
    </row>
    <row r="66" spans="2:17" x14ac:dyDescent="0.25">
      <c r="B66" s="48" t="s">
        <v>87</v>
      </c>
      <c r="C66" s="52">
        <v>43313</v>
      </c>
      <c r="D66" s="33">
        <v>2001099.92</v>
      </c>
      <c r="E66" s="33">
        <v>36959.99</v>
      </c>
      <c r="F66" s="33">
        <v>61889.04</v>
      </c>
      <c r="G66" s="33">
        <v>78745.75</v>
      </c>
      <c r="H66" s="33">
        <v>4005318.49</v>
      </c>
      <c r="I66" s="33">
        <v>16.89</v>
      </c>
      <c r="J66" s="33">
        <v>308417.49</v>
      </c>
      <c r="K66" s="36">
        <v>60189.11</v>
      </c>
      <c r="L66" s="36">
        <v>48360</v>
      </c>
      <c r="N66" s="32">
        <f t="shared" si="1"/>
        <v>6600996.6799999997</v>
      </c>
      <c r="O66" s="36"/>
      <c r="P66" s="36"/>
      <c r="Q66" s="36"/>
    </row>
    <row r="67" spans="2:17" x14ac:dyDescent="0.25">
      <c r="B67" s="48" t="s">
        <v>87</v>
      </c>
      <c r="C67" s="52">
        <v>43344</v>
      </c>
      <c r="D67" s="33">
        <v>1864622.16</v>
      </c>
      <c r="E67" s="33">
        <v>68.349999999999994</v>
      </c>
      <c r="F67" s="33">
        <v>63910.59</v>
      </c>
      <c r="G67" s="33">
        <v>89463.18</v>
      </c>
      <c r="H67" s="33">
        <v>3287322.16</v>
      </c>
      <c r="I67" s="33">
        <v>118.34</v>
      </c>
      <c r="J67" s="33">
        <v>200239.45</v>
      </c>
      <c r="K67" s="36"/>
      <c r="L67" s="36">
        <v>43400</v>
      </c>
      <c r="N67" s="32">
        <f t="shared" si="1"/>
        <v>5549144.2300000004</v>
      </c>
      <c r="O67" s="36"/>
      <c r="P67" s="36"/>
      <c r="Q67" s="36"/>
    </row>
    <row r="68" spans="2:17" x14ac:dyDescent="0.25">
      <c r="B68" s="48" t="s">
        <v>87</v>
      </c>
      <c r="C68" s="52">
        <v>43374</v>
      </c>
      <c r="D68" s="33">
        <v>1854898.75</v>
      </c>
      <c r="E68" s="33">
        <v>42.85</v>
      </c>
      <c r="F68" s="33">
        <v>64749.17</v>
      </c>
      <c r="G68" s="33">
        <v>82871.789999999994</v>
      </c>
      <c r="H68" s="33">
        <v>4933150.0999999996</v>
      </c>
      <c r="I68" s="33">
        <v>314.49</v>
      </c>
      <c r="J68" s="33">
        <v>206110.18</v>
      </c>
      <c r="K68" s="36"/>
      <c r="L68" s="36">
        <v>39875</v>
      </c>
      <c r="N68" s="32">
        <f t="shared" si="1"/>
        <v>7182012.3300000001</v>
      </c>
      <c r="O68" s="36"/>
      <c r="P68" s="36"/>
      <c r="Q68" s="36"/>
    </row>
    <row r="69" spans="2:17" x14ac:dyDescent="0.25">
      <c r="B69" s="48" t="s">
        <v>87</v>
      </c>
      <c r="C69" s="52">
        <v>43405</v>
      </c>
      <c r="D69" s="33">
        <v>1823012.85</v>
      </c>
      <c r="E69" s="33">
        <v>29.06</v>
      </c>
      <c r="F69" s="33">
        <v>64186.54</v>
      </c>
      <c r="G69" s="33">
        <v>69860.039999999994</v>
      </c>
      <c r="H69" s="33">
        <v>3870084.79</v>
      </c>
      <c r="I69" s="33">
        <v>16.37</v>
      </c>
      <c r="J69" s="33">
        <v>188716.2</v>
      </c>
      <c r="K69" s="36"/>
      <c r="L69" s="36">
        <v>42960</v>
      </c>
      <c r="N69" s="32">
        <f t="shared" si="1"/>
        <v>6058865.8500000006</v>
      </c>
      <c r="O69" s="36"/>
      <c r="P69" s="36"/>
      <c r="Q69" s="36"/>
    </row>
    <row r="70" spans="2:17" x14ac:dyDescent="0.25">
      <c r="B70" s="48" t="s">
        <v>87</v>
      </c>
      <c r="C70" s="52">
        <v>43435</v>
      </c>
      <c r="D70" s="33">
        <v>1975328.05</v>
      </c>
      <c r="E70" s="33">
        <v>9.99</v>
      </c>
      <c r="F70" s="33">
        <v>69034.12</v>
      </c>
      <c r="G70" s="33">
        <v>91576.38</v>
      </c>
      <c r="H70" s="33">
        <v>3586965.85</v>
      </c>
      <c r="I70" s="33">
        <v>34.020000000000003</v>
      </c>
      <c r="J70" s="33">
        <v>198924.44</v>
      </c>
      <c r="K70" s="36"/>
      <c r="L70" s="36">
        <v>53670</v>
      </c>
      <c r="N70" s="32">
        <f t="shared" ref="N70:N99" si="3">SUM(D70:M70)</f>
        <v>5975542.8500000006</v>
      </c>
      <c r="O70" s="36"/>
      <c r="P70" s="36"/>
      <c r="Q70" s="36"/>
    </row>
    <row r="71" spans="2:17" x14ac:dyDescent="0.25">
      <c r="B71" s="48" t="s">
        <v>87</v>
      </c>
      <c r="C71" s="52">
        <v>43466</v>
      </c>
      <c r="D71" s="33">
        <v>1989857.86</v>
      </c>
      <c r="E71" s="33">
        <v>6.31</v>
      </c>
      <c r="F71" s="33">
        <v>69983.649999999994</v>
      </c>
      <c r="G71" s="33">
        <v>121795.91</v>
      </c>
      <c r="H71" s="33">
        <v>3211479.13</v>
      </c>
      <c r="I71" s="33">
        <v>72.06</v>
      </c>
      <c r="J71" s="33">
        <v>178252.3</v>
      </c>
      <c r="K71" s="36"/>
      <c r="L71" s="36">
        <v>44475</v>
      </c>
      <c r="N71" s="32">
        <f t="shared" si="3"/>
        <v>5615922.2199999988</v>
      </c>
      <c r="O71" s="36"/>
      <c r="P71" s="36"/>
      <c r="Q71" s="36"/>
    </row>
    <row r="72" spans="2:17" x14ac:dyDescent="0.25">
      <c r="B72" s="48" t="s">
        <v>87</v>
      </c>
      <c r="C72" s="52">
        <v>43497</v>
      </c>
      <c r="D72" s="33">
        <v>1787349.46</v>
      </c>
      <c r="E72" s="33">
        <v>6.41</v>
      </c>
      <c r="F72" s="33">
        <v>66033.039999999994</v>
      </c>
      <c r="G72" s="33">
        <v>84220.479999999996</v>
      </c>
      <c r="H72" s="33">
        <v>3195590.23</v>
      </c>
      <c r="I72" s="33">
        <v>200223.69</v>
      </c>
      <c r="J72" s="33">
        <v>201539.41</v>
      </c>
      <c r="K72" s="36">
        <v>34638.879999999997</v>
      </c>
      <c r="L72" s="36">
        <v>40960</v>
      </c>
      <c r="N72" s="32">
        <f t="shared" si="3"/>
        <v>5610561.6000000006</v>
      </c>
      <c r="O72" s="36"/>
      <c r="P72" s="36"/>
      <c r="Q72" s="36"/>
    </row>
    <row r="73" spans="2:17" x14ac:dyDescent="0.25">
      <c r="B73" s="48" t="s">
        <v>87</v>
      </c>
      <c r="C73" s="52">
        <v>43525</v>
      </c>
      <c r="D73" s="33">
        <v>1950262.96</v>
      </c>
      <c r="E73" s="33">
        <v>0.8</v>
      </c>
      <c r="F73" s="33">
        <v>67553.42</v>
      </c>
      <c r="G73" s="33">
        <v>112426.04</v>
      </c>
      <c r="H73" s="33">
        <v>4118942.8</v>
      </c>
      <c r="I73" s="33">
        <v>900.59</v>
      </c>
      <c r="J73" s="33">
        <v>228391.8</v>
      </c>
      <c r="K73" s="36">
        <v>123724.78</v>
      </c>
      <c r="L73" s="36">
        <v>46025</v>
      </c>
      <c r="N73" s="32">
        <f t="shared" si="3"/>
        <v>6648228.1899999995</v>
      </c>
      <c r="O73" s="36"/>
      <c r="P73" s="36"/>
      <c r="Q73" s="36"/>
    </row>
    <row r="74" spans="2:17" x14ac:dyDescent="0.25">
      <c r="B74" s="48" t="s">
        <v>87</v>
      </c>
      <c r="C74" s="52">
        <v>43556</v>
      </c>
      <c r="D74" s="33">
        <v>1897097</v>
      </c>
      <c r="E74" s="33">
        <v>0.95</v>
      </c>
      <c r="F74" s="33">
        <v>61947.44</v>
      </c>
      <c r="G74" s="33">
        <v>94711.71</v>
      </c>
      <c r="H74" s="33">
        <v>5313455.2699999996</v>
      </c>
      <c r="I74" s="33">
        <v>70376.33</v>
      </c>
      <c r="J74" s="33">
        <v>238901.52</v>
      </c>
      <c r="K74" s="36">
        <v>39797.51</v>
      </c>
      <c r="L74" s="36">
        <v>44790</v>
      </c>
      <c r="N74" s="32">
        <f t="shared" si="3"/>
        <v>7761077.7299999986</v>
      </c>
      <c r="O74" s="36"/>
      <c r="P74" s="36"/>
      <c r="Q74" s="36"/>
    </row>
    <row r="75" spans="2:17" x14ac:dyDescent="0.25">
      <c r="B75" s="48" t="s">
        <v>87</v>
      </c>
      <c r="C75" s="52">
        <v>43586</v>
      </c>
      <c r="D75" s="33">
        <v>1817567.14</v>
      </c>
      <c r="E75" s="33">
        <v>0.16</v>
      </c>
      <c r="F75" s="33">
        <v>65126.05</v>
      </c>
      <c r="G75" s="33">
        <v>110913.91</v>
      </c>
      <c r="H75" s="33">
        <v>3721730.59</v>
      </c>
      <c r="I75" s="33">
        <v>68593.649999999994</v>
      </c>
      <c r="J75" s="33">
        <v>178973.34</v>
      </c>
      <c r="K75" s="36">
        <v>19680.810000000001</v>
      </c>
      <c r="L75" s="36">
        <v>46010</v>
      </c>
      <c r="N75" s="32">
        <f t="shared" si="3"/>
        <v>6028595.6499999994</v>
      </c>
      <c r="O75" s="36"/>
      <c r="P75" s="36"/>
      <c r="Q75" s="36"/>
    </row>
    <row r="76" spans="2:17" x14ac:dyDescent="0.25">
      <c r="B76" s="48" t="s">
        <v>87</v>
      </c>
      <c r="C76" s="52">
        <v>43617</v>
      </c>
      <c r="D76" s="33">
        <v>1743157.48</v>
      </c>
      <c r="E76" s="33">
        <v>1.31</v>
      </c>
      <c r="F76" s="33">
        <v>67052.22</v>
      </c>
      <c r="G76" s="33">
        <v>102754.44</v>
      </c>
      <c r="H76" s="33">
        <v>5107274.92</v>
      </c>
      <c r="I76" s="33">
        <v>77649.759999999995</v>
      </c>
      <c r="J76" s="33">
        <v>200773.5</v>
      </c>
      <c r="K76" s="36"/>
      <c r="L76" s="36">
        <v>47960</v>
      </c>
      <c r="N76" s="32">
        <f t="shared" si="3"/>
        <v>7346623.6299999999</v>
      </c>
      <c r="O76" s="36">
        <f>SUM(N65:N76)-Summary!J9</f>
        <v>0</v>
      </c>
      <c r="P76" s="36">
        <f>+SUM(N65:N76)-Summary!J9</f>
        <v>0</v>
      </c>
      <c r="Q76" s="36"/>
    </row>
    <row r="77" spans="2:17" x14ac:dyDescent="0.25">
      <c r="B77" s="48" t="s">
        <v>147</v>
      </c>
      <c r="C77" s="52">
        <v>43647</v>
      </c>
      <c r="D77" s="33">
        <v>1826017.96</v>
      </c>
      <c r="E77" s="33">
        <v>8.8800000000000008</v>
      </c>
      <c r="F77" s="33">
        <v>68044.740000000005</v>
      </c>
      <c r="G77" s="33">
        <v>105677.19</v>
      </c>
      <c r="H77" s="33">
        <v>3783053.79</v>
      </c>
      <c r="I77" s="33">
        <v>429102.95</v>
      </c>
      <c r="J77" s="33">
        <v>176877.24</v>
      </c>
      <c r="K77" s="36"/>
      <c r="L77" s="36">
        <v>48985</v>
      </c>
      <c r="N77" s="32">
        <f t="shared" si="3"/>
        <v>6437767.75</v>
      </c>
    </row>
    <row r="78" spans="2:17" x14ac:dyDescent="0.25">
      <c r="B78" s="48" t="s">
        <v>147</v>
      </c>
      <c r="C78" s="52">
        <v>43678</v>
      </c>
      <c r="D78" s="33">
        <v>1817819.86</v>
      </c>
      <c r="E78" s="33">
        <v>0.06</v>
      </c>
      <c r="F78" s="33">
        <v>65543.41</v>
      </c>
      <c r="G78" s="33">
        <v>96529.3</v>
      </c>
      <c r="H78" s="33">
        <v>3701672.16</v>
      </c>
      <c r="I78" s="33">
        <v>2036.3</v>
      </c>
      <c r="J78" s="33">
        <v>227316.31</v>
      </c>
      <c r="K78" s="36">
        <v>134881.32</v>
      </c>
      <c r="L78" s="36">
        <v>51210</v>
      </c>
      <c r="N78" s="32">
        <f t="shared" si="3"/>
        <v>6097008.7199999997</v>
      </c>
    </row>
    <row r="79" spans="2:17" x14ac:dyDescent="0.25">
      <c r="B79" s="48" t="s">
        <v>147</v>
      </c>
      <c r="C79" s="52">
        <v>43709</v>
      </c>
      <c r="D79" s="33">
        <v>1767903.37</v>
      </c>
      <c r="E79" s="33">
        <v>0.13</v>
      </c>
      <c r="F79" s="33">
        <v>63589.440000000002</v>
      </c>
      <c r="G79" s="33">
        <v>102018.14</v>
      </c>
      <c r="H79" s="33">
        <v>4967932.33</v>
      </c>
      <c r="I79" s="33">
        <v>109738.37</v>
      </c>
      <c r="J79" s="33">
        <v>243906.45</v>
      </c>
      <c r="K79" s="36">
        <v>8509.4500000000007</v>
      </c>
      <c r="L79" s="36">
        <v>46075</v>
      </c>
      <c r="N79" s="32">
        <f t="shared" si="3"/>
        <v>7309672.6800000006</v>
      </c>
    </row>
    <row r="80" spans="2:17" x14ac:dyDescent="0.25">
      <c r="B80" s="48" t="s">
        <v>147</v>
      </c>
      <c r="C80" s="52">
        <v>43739</v>
      </c>
      <c r="D80" s="33">
        <v>1768269.22</v>
      </c>
      <c r="E80" s="33">
        <v>10.029999999999999</v>
      </c>
      <c r="F80" s="33">
        <v>64816.46</v>
      </c>
      <c r="G80" s="33">
        <v>97513.36</v>
      </c>
      <c r="H80" s="33">
        <v>5922068.7400000002</v>
      </c>
      <c r="I80" s="33">
        <v>36695.11</v>
      </c>
      <c r="J80" s="33">
        <v>182184.88</v>
      </c>
      <c r="K80" s="36">
        <v>37612</v>
      </c>
      <c r="L80" s="36">
        <v>45330</v>
      </c>
      <c r="N80" s="32">
        <f t="shared" si="3"/>
        <v>8154499.8000000007</v>
      </c>
    </row>
    <row r="81" spans="2:14" x14ac:dyDescent="0.25">
      <c r="B81" s="48" t="s">
        <v>147</v>
      </c>
      <c r="C81" s="52">
        <v>43770</v>
      </c>
      <c r="D81" s="33">
        <v>1762037.01</v>
      </c>
      <c r="E81" s="33">
        <v>1.96</v>
      </c>
      <c r="F81" s="33">
        <v>62997.09</v>
      </c>
      <c r="G81" s="33">
        <v>117799.2</v>
      </c>
      <c r="H81" s="33">
        <v>3886843.92</v>
      </c>
      <c r="I81" s="33">
        <f>192.7+50</f>
        <v>242.7</v>
      </c>
      <c r="J81" s="33">
        <v>275755.99</v>
      </c>
      <c r="K81" s="36">
        <v>0</v>
      </c>
      <c r="L81" s="36">
        <v>51995</v>
      </c>
      <c r="N81" s="32">
        <f t="shared" si="3"/>
        <v>6157672.8700000001</v>
      </c>
    </row>
    <row r="82" spans="2:14" x14ac:dyDescent="0.25">
      <c r="B82" s="48" t="s">
        <v>147</v>
      </c>
      <c r="C82" s="52">
        <v>43800</v>
      </c>
      <c r="D82" s="33">
        <v>1873825.38</v>
      </c>
      <c r="E82" s="33">
        <v>0.11</v>
      </c>
      <c r="F82" s="33">
        <v>67101.64</v>
      </c>
      <c r="G82" s="33">
        <v>74280.72</v>
      </c>
      <c r="H82" s="33">
        <v>4126929.56</v>
      </c>
      <c r="I82" s="33">
        <v>70.069999999999993</v>
      </c>
      <c r="J82" s="33">
        <v>285329.24</v>
      </c>
      <c r="K82" s="36">
        <v>0</v>
      </c>
      <c r="L82" s="36">
        <v>61250</v>
      </c>
      <c r="N82" s="32">
        <f t="shared" si="3"/>
        <v>6488786.7200000007</v>
      </c>
    </row>
    <row r="83" spans="2:14" x14ac:dyDescent="0.25">
      <c r="B83" s="48" t="s">
        <v>147</v>
      </c>
      <c r="C83" s="52">
        <v>43831</v>
      </c>
      <c r="D83" s="33">
        <v>1851451.28</v>
      </c>
      <c r="E83" s="33">
        <v>5.65</v>
      </c>
      <c r="F83" s="33">
        <v>65903.78</v>
      </c>
      <c r="G83" s="33">
        <v>113473.59</v>
      </c>
      <c r="H83" s="33">
        <v>3582134.08</v>
      </c>
      <c r="I83" s="33">
        <v>30962.44</v>
      </c>
      <c r="J83" s="33">
        <v>246749.52</v>
      </c>
      <c r="K83" s="36">
        <v>0</v>
      </c>
      <c r="L83" s="36">
        <v>56717</v>
      </c>
      <c r="N83" s="32">
        <f t="shared" si="3"/>
        <v>5947397.3399999999</v>
      </c>
    </row>
    <row r="84" spans="2:14" x14ac:dyDescent="0.25">
      <c r="B84" s="48" t="s">
        <v>147</v>
      </c>
      <c r="C84" s="52">
        <v>43862</v>
      </c>
      <c r="D84" s="33">
        <v>1678387.77</v>
      </c>
      <c r="E84" s="33">
        <v>0.06</v>
      </c>
      <c r="F84" s="33">
        <v>59591.75</v>
      </c>
      <c r="G84" s="33">
        <v>79233.14</v>
      </c>
      <c r="H84" s="33">
        <v>5359152.7</v>
      </c>
      <c r="I84" s="33">
        <v>201817.65</v>
      </c>
      <c r="J84" s="33">
        <v>227687.85</v>
      </c>
      <c r="K84" s="36">
        <v>0</v>
      </c>
      <c r="L84" s="36">
        <v>37105</v>
      </c>
      <c r="N84" s="32">
        <f t="shared" si="3"/>
        <v>7642975.9199999999</v>
      </c>
    </row>
    <row r="85" spans="2:14" x14ac:dyDescent="0.25">
      <c r="B85" s="48" t="s">
        <v>147</v>
      </c>
      <c r="C85" s="52">
        <v>43891</v>
      </c>
      <c r="D85" s="33">
        <f>[4]Sheet1!$B$17</f>
        <v>982897.12</v>
      </c>
      <c r="E85" s="33">
        <f>[4]Sheet1!$B$12</f>
        <v>0.1</v>
      </c>
      <c r="F85" s="33">
        <f>[4]Sheet1!$B$16</f>
        <v>31435.29</v>
      </c>
      <c r="G85" s="33">
        <f>[4]Sheet1!$B$37</f>
        <v>18845.669999999998</v>
      </c>
      <c r="H85" s="33">
        <f>[4]Sheet1!$B$41</f>
        <v>2544251.87</v>
      </c>
      <c r="I85" s="33">
        <f>[4]Sheet1!$B$45</f>
        <v>75830.600000000006</v>
      </c>
      <c r="J85" s="33">
        <f>[4]Sheet1!$B$49</f>
        <v>155360.14000000001</v>
      </c>
      <c r="K85" s="36">
        <f>[4]Sheet1!$B$53</f>
        <v>0</v>
      </c>
      <c r="L85" s="36"/>
      <c r="N85" s="32">
        <f t="shared" si="3"/>
        <v>3808620.7900000005</v>
      </c>
    </row>
    <row r="86" spans="2:14" x14ac:dyDescent="0.25">
      <c r="B86" s="48" t="s">
        <v>147</v>
      </c>
      <c r="C86" s="52">
        <v>43922</v>
      </c>
      <c r="E86" s="33"/>
      <c r="F86" s="33"/>
      <c r="G86" s="33"/>
      <c r="H86" s="33"/>
      <c r="I86" s="33"/>
      <c r="J86" s="33"/>
      <c r="K86" s="36"/>
      <c r="L86" s="36"/>
      <c r="N86" s="32">
        <f t="shared" si="3"/>
        <v>0</v>
      </c>
    </row>
    <row r="87" spans="2:14" x14ac:dyDescent="0.25">
      <c r="B87" s="48" t="s">
        <v>147</v>
      </c>
      <c r="C87" s="52">
        <v>43952</v>
      </c>
      <c r="E87" s="33"/>
      <c r="F87" s="33"/>
      <c r="G87" s="33"/>
      <c r="H87" s="33"/>
      <c r="I87" s="33"/>
      <c r="J87" s="33"/>
      <c r="K87" s="36"/>
      <c r="L87" s="36"/>
      <c r="N87" s="32">
        <f t="shared" si="3"/>
        <v>0</v>
      </c>
    </row>
    <row r="88" spans="2:14" x14ac:dyDescent="0.25">
      <c r="B88" s="48" t="s">
        <v>147</v>
      </c>
      <c r="C88" s="52">
        <v>43983</v>
      </c>
      <c r="E88" s="33"/>
      <c r="F88" s="33"/>
      <c r="G88" s="33"/>
      <c r="H88" s="33"/>
      <c r="I88" s="33"/>
      <c r="J88" s="33"/>
      <c r="K88" s="36"/>
      <c r="L88" s="36"/>
      <c r="N88" s="32">
        <f t="shared" si="3"/>
        <v>0</v>
      </c>
    </row>
    <row r="89" spans="2:14" x14ac:dyDescent="0.25">
      <c r="B89" s="48" t="s">
        <v>148</v>
      </c>
      <c r="C89" s="52">
        <v>44013</v>
      </c>
      <c r="E89" s="33"/>
      <c r="F89" s="33"/>
      <c r="G89" s="33"/>
      <c r="H89" s="33"/>
      <c r="I89" s="33"/>
      <c r="J89" s="33"/>
      <c r="K89" s="36"/>
      <c r="L89" s="36"/>
      <c r="N89" s="32">
        <f t="shared" si="3"/>
        <v>0</v>
      </c>
    </row>
    <row r="90" spans="2:14" x14ac:dyDescent="0.25">
      <c r="B90" s="48" t="s">
        <v>148</v>
      </c>
      <c r="C90" s="52">
        <v>44044</v>
      </c>
      <c r="E90" s="33"/>
      <c r="F90" s="33"/>
      <c r="G90" s="33"/>
      <c r="H90" s="33"/>
      <c r="I90" s="33"/>
      <c r="J90" s="33"/>
      <c r="K90" s="36"/>
      <c r="L90" s="36"/>
      <c r="N90" s="32">
        <f t="shared" si="3"/>
        <v>0</v>
      </c>
    </row>
    <row r="91" spans="2:14" x14ac:dyDescent="0.25">
      <c r="B91" s="48" t="s">
        <v>148</v>
      </c>
      <c r="C91" s="52">
        <v>44075</v>
      </c>
      <c r="E91" s="33"/>
      <c r="F91" s="33"/>
      <c r="G91" s="33"/>
      <c r="H91" s="33"/>
      <c r="I91" s="33"/>
      <c r="J91" s="33"/>
      <c r="K91" s="36"/>
      <c r="L91" s="36"/>
      <c r="N91" s="32">
        <f t="shared" si="3"/>
        <v>0</v>
      </c>
    </row>
    <row r="92" spans="2:14" x14ac:dyDescent="0.25">
      <c r="B92" s="48" t="s">
        <v>148</v>
      </c>
      <c r="C92" s="52">
        <v>44105</v>
      </c>
      <c r="E92" s="33"/>
      <c r="F92" s="33"/>
      <c r="G92" s="33"/>
      <c r="H92" s="33"/>
      <c r="I92" s="33"/>
      <c r="J92" s="33"/>
      <c r="K92" s="36"/>
      <c r="L92" s="36"/>
      <c r="N92" s="32">
        <f t="shared" si="3"/>
        <v>0</v>
      </c>
    </row>
    <row r="93" spans="2:14" x14ac:dyDescent="0.25">
      <c r="B93" s="48" t="s">
        <v>148</v>
      </c>
      <c r="C93" s="52">
        <v>44136</v>
      </c>
      <c r="D93" s="33">
        <v>47319.5</v>
      </c>
      <c r="E93" s="33"/>
      <c r="F93" s="33">
        <v>180</v>
      </c>
      <c r="G93" s="33"/>
      <c r="H93" s="33">
        <v>148521.72</v>
      </c>
      <c r="I93" s="33"/>
      <c r="J93" s="33">
        <v>189</v>
      </c>
      <c r="K93" s="36"/>
      <c r="L93" s="36"/>
      <c r="N93" s="32">
        <f t="shared" si="3"/>
        <v>196210.22</v>
      </c>
    </row>
    <row r="94" spans="2:14" x14ac:dyDescent="0.25">
      <c r="B94" s="48" t="s">
        <v>148</v>
      </c>
      <c r="C94" s="52">
        <v>44166</v>
      </c>
      <c r="D94" s="33">
        <v>107741.5</v>
      </c>
      <c r="E94" s="33"/>
      <c r="F94" s="33">
        <v>900</v>
      </c>
      <c r="G94" s="33"/>
      <c r="H94" s="33">
        <v>1926773.68</v>
      </c>
      <c r="I94" s="33">
        <v>444.89</v>
      </c>
      <c r="J94" s="33">
        <v>616.27</v>
      </c>
      <c r="K94" s="36"/>
      <c r="L94" s="36">
        <v>10720</v>
      </c>
      <c r="N94" s="32">
        <f t="shared" si="3"/>
        <v>2047196.3399999999</v>
      </c>
    </row>
    <row r="95" spans="2:14" x14ac:dyDescent="0.25">
      <c r="B95" s="48" t="s">
        <v>148</v>
      </c>
      <c r="C95" s="52">
        <v>44197</v>
      </c>
      <c r="D95" s="33">
        <v>0</v>
      </c>
      <c r="E95" s="33">
        <f>[5]bonanl!$B$25</f>
        <v>0</v>
      </c>
      <c r="F95" s="33">
        <v>0</v>
      </c>
      <c r="G95" s="33"/>
      <c r="H95" s="33">
        <f>[5]bonanl!$B$13</f>
        <v>1826587.93</v>
      </c>
      <c r="I95" s="33">
        <f>[5]bonanl!$B$18</f>
        <v>282.56</v>
      </c>
      <c r="J95" s="33">
        <f>[5]bonanl!$B$22</f>
        <v>529.54</v>
      </c>
      <c r="K95" s="36"/>
      <c r="L95" s="36">
        <f>[5]bonanl!$B$30</f>
        <v>11565</v>
      </c>
      <c r="N95" s="32">
        <f t="shared" si="3"/>
        <v>1838965.03</v>
      </c>
    </row>
    <row r="96" spans="2:14" x14ac:dyDescent="0.25">
      <c r="B96" s="48" t="s">
        <v>148</v>
      </c>
      <c r="C96" s="52">
        <v>44228</v>
      </c>
      <c r="D96" s="33">
        <v>0</v>
      </c>
      <c r="E96" s="18">
        <v>0</v>
      </c>
      <c r="F96" s="18">
        <v>0</v>
      </c>
      <c r="H96" s="18">
        <v>1201642.3600000001</v>
      </c>
      <c r="I96" s="18">
        <v>55.78</v>
      </c>
      <c r="J96" s="18">
        <v>68.94</v>
      </c>
      <c r="L96" s="37">
        <v>5215</v>
      </c>
      <c r="N96" s="32">
        <f t="shared" si="3"/>
        <v>1206982.08</v>
      </c>
    </row>
    <row r="97" spans="2:14" x14ac:dyDescent="0.25">
      <c r="B97" s="48" t="s">
        <v>148</v>
      </c>
      <c r="C97" s="52">
        <v>44256</v>
      </c>
      <c r="D97" s="33">
        <f>[6]bonanl!$B$18</f>
        <v>37.200000000000003</v>
      </c>
      <c r="E97" s="18">
        <f>[6]bonanl!$B$14</f>
        <v>1.06</v>
      </c>
      <c r="F97" s="18">
        <f>[6]bonanl!$B$17</f>
        <v>12</v>
      </c>
      <c r="H97" s="18">
        <f>[6]bonanl!$B$23</f>
        <v>1942695.26</v>
      </c>
      <c r="I97" s="18">
        <f>[6]bonanl!$B$27</f>
        <v>197.29</v>
      </c>
      <c r="J97" s="18">
        <f>[6]bonanl!$B$31</f>
        <v>38.020000000000003</v>
      </c>
      <c r="K97" s="37">
        <f>[6]bonanl!$B$35</f>
        <v>0</v>
      </c>
      <c r="L97" s="37">
        <f>[6]bonanl!$B$40</f>
        <v>8795</v>
      </c>
      <c r="N97" s="32">
        <f t="shared" si="3"/>
        <v>1951775.83</v>
      </c>
    </row>
    <row r="98" spans="2:14" x14ac:dyDescent="0.25">
      <c r="B98" s="48" t="s">
        <v>148</v>
      </c>
      <c r="C98" s="52">
        <v>44287</v>
      </c>
      <c r="D98" s="33">
        <f>[7]bonanl!$B$18</f>
        <v>295202.39</v>
      </c>
      <c r="E98" s="18">
        <f>[7]bonanl!$B$14</f>
        <v>0.4</v>
      </c>
      <c r="F98" s="18">
        <f>[7]bonanl!$B$17</f>
        <v>2199</v>
      </c>
      <c r="H98" s="18">
        <f>[7]bonanl!$B$23</f>
        <v>2534771.52</v>
      </c>
      <c r="I98" s="18">
        <f>[7]bonanl!$B$27</f>
        <v>265.75</v>
      </c>
      <c r="J98" s="18">
        <f>[7]bonanl!$B$31</f>
        <v>46437.79</v>
      </c>
      <c r="K98" s="37">
        <f>[7]bonanl!$B$35</f>
        <v>0</v>
      </c>
      <c r="L98" s="37">
        <f>[7]bonanl!$B$40</f>
        <v>11710</v>
      </c>
      <c r="N98" s="32">
        <f t="shared" si="3"/>
        <v>2890586.85</v>
      </c>
    </row>
    <row r="99" spans="2:14" x14ac:dyDescent="0.25">
      <c r="B99" s="48" t="s">
        <v>148</v>
      </c>
      <c r="C99" s="52">
        <v>44317</v>
      </c>
      <c r="D99" s="33">
        <f>[8]bonanl!$G$18</f>
        <v>351975.95</v>
      </c>
      <c r="E99" s="18">
        <f>[8]bonanl!$G$14</f>
        <v>0.08</v>
      </c>
      <c r="F99" s="18">
        <f>[8]bonanl!$G$17</f>
        <v>2574</v>
      </c>
      <c r="H99" s="18">
        <f>[8]bonanl!$G$22</f>
        <v>1668593.34</v>
      </c>
      <c r="I99" s="18">
        <f>[8]bonanl!$G$27</f>
        <v>101.21</v>
      </c>
      <c r="J99" s="18">
        <f>[8]bonanl!$G$31</f>
        <v>132919.04000000001</v>
      </c>
      <c r="K99" s="37">
        <f>[8]bonanl!$G$35</f>
        <v>0</v>
      </c>
      <c r="L99" s="37">
        <f>[8]bonanl!$G$40</f>
        <v>8310</v>
      </c>
      <c r="N99" s="32">
        <f t="shared" si="3"/>
        <v>2164473.62</v>
      </c>
    </row>
  </sheetData>
  <pageMargins left="0.7" right="0.7" top="0.75" bottom="0.75" header="0.3" footer="0.3"/>
  <pageSetup paperSize="9"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831B90248A540B6D7402B812F83D7" ma:contentTypeVersion="11" ma:contentTypeDescription="Create a new document." ma:contentTypeScope="" ma:versionID="b84453e8f40ff1bc38d95d643eb89927">
  <xsd:schema xmlns:xsd="http://www.w3.org/2001/XMLSchema" xmlns:xs="http://www.w3.org/2001/XMLSchema" xmlns:p="http://schemas.microsoft.com/office/2006/metadata/properties" xmlns:ns1="2502e859-f0bf-4bcc-8c9f-128c9f9c82d2" xmlns:ns3="30211e61-8a7b-4fc1-a145-5e21de2cb23f" targetNamespace="http://schemas.microsoft.com/office/2006/metadata/properties" ma:root="true" ma:fieldsID="0f5a8274a582d6643c0b7fd495f62856" ns1:_="" ns3:_="">
    <xsd:import namespace="2502e859-f0bf-4bcc-8c9f-128c9f9c82d2"/>
    <xsd:import namespace="30211e61-8a7b-4fc1-a145-5e21de2cb23f"/>
    <xsd:element name="properties">
      <xsd:complexType>
        <xsd:sequence>
          <xsd:element name="documentManagement">
            <xsd:complexType>
              <xsd:all>
                <xsd:element ref="ns1:Document"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2e859-f0bf-4bcc-8c9f-128c9f9c82d2" elementFormDefault="qualified">
    <xsd:import namespace="http://schemas.microsoft.com/office/2006/documentManagement/types"/>
    <xsd:import namespace="http://schemas.microsoft.com/office/infopath/2007/PartnerControls"/>
    <xsd:element name="Document" ma:index="0"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211e61-8a7b-4fc1-a145-5e21de2c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 xmlns="2502e859-f0bf-4bcc-8c9f-128c9f9c82d2">
      <Url xsi:nil="true"/>
      <Description xsi:nil="true"/>
    </Document>
  </documentManagement>
</p:properties>
</file>

<file path=customXml/itemProps1.xml><?xml version="1.0" encoding="utf-8"?>
<ds:datastoreItem xmlns:ds="http://schemas.openxmlformats.org/officeDocument/2006/customXml" ds:itemID="{48926B37-1BB8-4DF2-BF1B-FA59A21D103E}"/>
</file>

<file path=customXml/itemProps2.xml><?xml version="1.0" encoding="utf-8"?>
<ds:datastoreItem xmlns:ds="http://schemas.openxmlformats.org/officeDocument/2006/customXml" ds:itemID="{334247CD-4B0A-480F-8112-0EBE60938474}"/>
</file>

<file path=customXml/itemProps3.xml><?xml version="1.0" encoding="utf-8"?>
<ds:datastoreItem xmlns:ds="http://schemas.openxmlformats.org/officeDocument/2006/customXml" ds:itemID="{0506C00C-999C-4919-9175-72872E47FD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BJ Master (2021-6-16)</vt:lpstr>
      <vt:lpstr>Summary (2021-6-16)</vt:lpstr>
      <vt:lpstr>BJ Master (2021-6-12)</vt:lpstr>
      <vt:lpstr>Summary (2021-6-12)</vt:lpstr>
      <vt:lpstr>BJ Master</vt:lpstr>
      <vt:lpstr>Summary</vt:lpstr>
      <vt:lpstr>Data_Tabs_&gt;&gt;&gt;</vt:lpstr>
      <vt:lpstr>CDW BonusCubeData</vt:lpstr>
      <vt:lpstr>Dacom Data</vt:lpstr>
      <vt:lpstr>COGNOS Data</vt:lpstr>
      <vt:lpstr>COGNOS2</vt:lpstr>
      <vt:lpstr>RevAudGGR</vt:lpstr>
      <vt:lpstr>bonanl</vt:lpstr>
      <vt:lpstr>Sheet1</vt:lpstr>
      <vt:lpstr>Sheet3</vt:lpstr>
      <vt:lpstr>Sheet 4</vt:lpstr>
      <vt:lpstr>'BJ Master (2021-6-16)'!Print_Area</vt:lpstr>
      <vt:lpstr>Summary!Print_Area</vt:lpstr>
      <vt:lpstr>'Summary (2021-6-12)'!Print_Area</vt:lpstr>
      <vt:lpstr>'Summary (2021-6-16)'!Print_Area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2021-08-03T06:56:10Z</dcterms:created>
  <dcterms:modified xsi:type="dcterms:W3CDTF">2021-08-03T06:56:22Z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0x010100BC8831B90248A540B6D7402B812F83D7</vt:lpwstr>
  </property>
</Properties>
</file>